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7920" activeTab="0"/>
  </bookViews>
  <sheets>
    <sheet name="Abstract" sheetId="1" r:id="rId1"/>
    <sheet name="Road 1" sheetId="2" r:id="rId2"/>
    <sheet name="Drain" sheetId="3" r:id="rId3"/>
    <sheet name="Footpath" sheetId="4" r:id="rId4"/>
  </sheets>
  <externalReferences>
    <externalReference r:id="rId7"/>
  </externalReferences>
  <definedNames>
    <definedName name="_xlnm.Print_Area" localSheetId="0">'Abstract'!$A$1:$G$29</definedName>
    <definedName name="_xlnm.Print_Area" localSheetId="2">'Drain'!$A$1:$K$117</definedName>
    <definedName name="_xlnm.Print_Area" localSheetId="1">'Road 1'!$A$1:$K$72</definedName>
    <definedName name="_xlnm.Print_Titles" localSheetId="2">'Drain'!$10:$12</definedName>
    <definedName name="_xlnm.Print_Titles" localSheetId="3">'Footpath'!$4:$6</definedName>
    <definedName name="_xlnm.Print_Titles" localSheetId="1">'Road 1'!$12:$14</definedName>
  </definedNames>
  <calcPr fullCalcOnLoad="1"/>
</workbook>
</file>

<file path=xl/sharedStrings.xml><?xml version="1.0" encoding="utf-8"?>
<sst xmlns="http://schemas.openxmlformats.org/spreadsheetml/2006/main" count="340" uniqueCount="218">
  <si>
    <t>cum</t>
  </si>
  <si>
    <t>sqm</t>
  </si>
  <si>
    <t>Total</t>
  </si>
  <si>
    <t>Amount</t>
  </si>
  <si>
    <t>Quantity</t>
  </si>
  <si>
    <t>No.</t>
  </si>
  <si>
    <t>2.6, Vol 2, pg 15</t>
  </si>
  <si>
    <t>Providing and laying in position cement concrete of specified grade excluding the cost of centering and shuttering All work up to plinth level.
4.1.1 Cement concrete grade M-20 (Nominal Mix) with 20 mm maximum size of stone aggregate</t>
  </si>
  <si>
    <t>Unit</t>
  </si>
  <si>
    <t>Descriptions of Item</t>
  </si>
  <si>
    <t>Measurement</t>
  </si>
  <si>
    <t xml:space="preserve">Rate </t>
  </si>
  <si>
    <t>L</t>
  </si>
  <si>
    <t>B</t>
  </si>
  <si>
    <t>H</t>
  </si>
  <si>
    <t>1</t>
  </si>
  <si>
    <t>2</t>
  </si>
  <si>
    <t>4</t>
  </si>
  <si>
    <t>7</t>
  </si>
  <si>
    <t>4.1.1, Vol II, pg 34</t>
  </si>
  <si>
    <t>6</t>
  </si>
  <si>
    <t>8</t>
  </si>
  <si>
    <t>9</t>
  </si>
  <si>
    <t>10</t>
  </si>
  <si>
    <t>2.27   Vol II, pg 19</t>
  </si>
  <si>
    <t>E/W Moorum filling</t>
  </si>
  <si>
    <t>Supplying and filling in plinth under floors including, watering, ramming consolidating and dressing complete.
2.27.3 Moorum/Hard copra</t>
  </si>
  <si>
    <t>11.47 Vol II, pg 136</t>
  </si>
  <si>
    <t>5</t>
  </si>
  <si>
    <t>Earthwork excavation</t>
  </si>
  <si>
    <t>Excavation for roadway in soil including loading in truck for carrying of cut earth to embankment site with all lifts and lead upto1000 metres and as per relevant clauses of section-300</t>
  </si>
  <si>
    <t>Paver Block for Foot Path</t>
  </si>
  <si>
    <t>Kerb Stone for Foot Path</t>
  </si>
  <si>
    <t>base</t>
  </si>
  <si>
    <t>Road Delineators</t>
  </si>
  <si>
    <t xml:space="preserve">Excavation </t>
  </si>
  <si>
    <t>on the either side of road ends</t>
  </si>
  <si>
    <t>Kerb stone</t>
  </si>
  <si>
    <t>Earth work in excavation by mechanical means hydraulic excavator) / manual means over areas (exceeding 30cm in depth. 1.5m in width as well as 10 sqm on plan) including disposal of excavated earth, lead upto 50m and lift upto 1.5m, disposed earth to be levelled and neatly dressed.
2.6.1 All kinds of soil</t>
  </si>
  <si>
    <t>11.49 Vol II, pg 137</t>
  </si>
  <si>
    <t>UADD SOR ITEM No</t>
  </si>
  <si>
    <t>S. No.</t>
  </si>
  <si>
    <t>S.No.</t>
  </si>
  <si>
    <t>3</t>
  </si>
  <si>
    <t>3.1, Vol III</t>
  </si>
  <si>
    <t>4.5 Vol III</t>
  </si>
  <si>
    <t>8.10 Vol III</t>
  </si>
  <si>
    <t>Sqm</t>
  </si>
  <si>
    <t>8.8 Vol III</t>
  </si>
  <si>
    <t>8.20 Vol III</t>
  </si>
  <si>
    <t>UADD SOR Vol II &amp; III, ITEM NO</t>
  </si>
  <si>
    <t>24.3 Vol II</t>
  </si>
  <si>
    <t xml:space="preserve"> Non-Pressure NP2 For Service Duct</t>
  </si>
  <si>
    <t>Providing and laying non-pressure NP2 class (light duty) R.C.C. pipes with collars jointed with stiff mixture of cement mortar in the
proportion of 1:2 (1 cement : 2 fine sand) including testing of joints
etc. complete</t>
  </si>
  <si>
    <t>24.3.4</t>
  </si>
  <si>
    <t>RM</t>
  </si>
  <si>
    <t>Provision -</t>
  </si>
  <si>
    <t xml:space="preserve">Total quantity </t>
  </si>
  <si>
    <t>4.8  Vol III</t>
  </si>
  <si>
    <t>Crusher Run Macadam Base</t>
  </si>
  <si>
    <t>Crusher Run Macadam Base (Providing crushed stone aggregate, depositing on
a prepared surface by hauling vehicles, spreading and mixing with a motor grader, watering and compacting with a vibratory roller to clause 410 to form a layer of sub-base/Base)</t>
  </si>
  <si>
    <t>i) For 53 mm maximum size</t>
  </si>
  <si>
    <t xml:space="preserve">WMM </t>
  </si>
  <si>
    <t>Providing, laying, spreading and compacting graded stone aggregate to wet mix macadam specification including premixing the Material with water at OMC in mechanical mix plant carriage of mixed Material by tipper to site, laying in uniform layers with paver in sub - base / base course on well prepared surface and compacting with vibratory roller to achieve the desired density and as per relevant clauses of section - 400.</t>
  </si>
  <si>
    <t>5.2 (i) Vol III</t>
  </si>
  <si>
    <t xml:space="preserve">Tack Coat </t>
  </si>
  <si>
    <t>Providing and applying tack coat with bitumen emulsion using emulsion pressure distributor on the prepared bituminous / granular surface cleaned with mechanical broom and as per relevant clauses of section 503. '@0.25 kg per sqm ….</t>
  </si>
  <si>
    <t xml:space="preserve"> Dense Bituminous Macadam</t>
  </si>
  <si>
    <t>Road Marking</t>
  </si>
  <si>
    <t xml:space="preserve">Road Marking with Hot Applied Thermoplastic Compound with Reflectorising Glass Beads on Bituminous Surface (Providing and laying of hot applie thermoplastic compound 2.5 mm thick including reflectorising glass beads @ 250gms per sqm area, thickness of 2.5 mm is exclusive of surface applied glass beads as per IRC:35 .The finished surface to be level, uniform and free from
streaks and holes and as per relevant clauses of section-800.
a) Height upto 5m </t>
  </si>
  <si>
    <t>Marking</t>
  </si>
  <si>
    <t>Painting lines, dashes, arrows etc</t>
  </si>
  <si>
    <t>Painting lines, dashes, arrows etc on roads in two coats on new work with ready mixed road marking paint conforming to IS:164 on bituminous surface, including
cleaning the surface of all dirt, dust and other foreign matter, arcation at site and traffic control as per relevant clauses of section-800 &amp; I.R.C.-67 including cost of paint etc. complete.</t>
  </si>
  <si>
    <t xml:space="preserve"> lines, dashes, arrows</t>
  </si>
  <si>
    <t>8.12  Vol III</t>
  </si>
  <si>
    <t>Road Delineators (Supplying and installation of delineators (road way indicators, hazard markers, object markers), 80-100 cm high above ground level, painted
black and white in 15 cm wide stripes, fitted with 80 x 100 mm rectangular or 75 mm dia circular reflectorised panels at the top, buried or pressed into the ground
and confirming toIRC-79 and the drawings as per relevant clauses of section-800 of specifications.</t>
  </si>
  <si>
    <t xml:space="preserve">Road Stud </t>
  </si>
  <si>
    <t>Road Markers/Road Stud with Lense Reflector (Providing and fixing of road stud 100x 100 mm, dia cast in aluminium, resistant to corrosive effect of salt and grit,
fitted with lense reflectors, nstalled in concrete or asphaltic surface by drilling hole 30 mm upto a depth of 60 mm and bedded in a suitable bituminous grout or epoxy
mortar, all as per BS 873 part 4:1973)</t>
  </si>
  <si>
    <t>Av.</t>
  </si>
  <si>
    <t>Based on UADD SOR Vol. I to IV  w.e.f. 10 May 2012</t>
  </si>
  <si>
    <t>Abstract Estimate</t>
  </si>
  <si>
    <t>Description of Item</t>
  </si>
  <si>
    <t xml:space="preserve"> SOR Item</t>
  </si>
  <si>
    <t xml:space="preserve">Cost </t>
  </si>
  <si>
    <t xml:space="preserve">Detailed Estimate of Drain </t>
  </si>
  <si>
    <t>Technical Summary</t>
  </si>
  <si>
    <t>Provisions -</t>
  </si>
  <si>
    <t>Length of the Road</t>
  </si>
  <si>
    <t xml:space="preserve"> =</t>
  </si>
  <si>
    <t>1300 m</t>
  </si>
  <si>
    <t>Roadway Width</t>
  </si>
  <si>
    <t>13.50m</t>
  </si>
  <si>
    <t>Lane</t>
  </si>
  <si>
    <t>2 Lane without Median with Both SideDrain</t>
  </si>
  <si>
    <t>Width of Carriageway</t>
  </si>
  <si>
    <t xml:space="preserve">7.5 m </t>
  </si>
  <si>
    <t>GSB</t>
  </si>
  <si>
    <t>250 mm thick in full width</t>
  </si>
  <si>
    <t>DLC</t>
  </si>
  <si>
    <t>100mm  thick</t>
  </si>
  <si>
    <t>PQC M- 30</t>
  </si>
  <si>
    <t>200 mm thick</t>
  </si>
  <si>
    <t>Design period</t>
  </si>
  <si>
    <t>20 years</t>
  </si>
  <si>
    <t>CBR of Subgrade</t>
  </si>
  <si>
    <t>3.87 to 4.96 % (existing  BT Road)</t>
  </si>
  <si>
    <t>Detailed Estimate of Road</t>
  </si>
  <si>
    <t>Detaild Estimate of Footpath</t>
  </si>
  <si>
    <t>4.1.4 Vol. II, pg 34</t>
  </si>
  <si>
    <t>M10 base for paver block</t>
  </si>
  <si>
    <t>Providing and laying in position cement concrete of specified grade excluding the cost of centering and shuttering All work up to plinth level. 4.1.4 Cement concrete grade M-10 (Nominal Mix) with 20 mm maximum size of stone aggregate</t>
  </si>
  <si>
    <t>Providing and laying bituminous concrete with hot mix plant using crushed aggregates of specified grading,premixed with bituminous binder,transporting the hot mix to work site,laying with a mechanical paver finisher to the required
grade,level and alignment,rolling with smooth wheeled, vibratory and tandem rollers to achieve the desired compaction in all respects and as per relevant clauses of section-509.(Only cement will be used as filler).</t>
  </si>
  <si>
    <t>5.8 (iv) Vol III</t>
  </si>
  <si>
    <t>iv) for Grading II ( 30-45 mm thickness ) with 60/70 bitumen</t>
  </si>
  <si>
    <t>Providing and laying dense bituminous macadam with hot mix plant batch using crushed aggregates of specified grading, premixed with bituminous binder, transporting the hot mix to work site, laying with mechanical paver finisher to the required grade, level and alignment, rolling with smooth wheeled, vibratory and tandem rollers to achieve the desired compaction complete in all respects and as per relevant clauses of section-507. (Only cement will be used as filler)  (for Grading Ifor Grading II( 50-75mm thickness )</t>
  </si>
  <si>
    <t>5.6 (ii) Vol III</t>
  </si>
  <si>
    <t xml:space="preserve">Detailed Estimate of Road </t>
  </si>
  <si>
    <t>Bituminous Concrete</t>
  </si>
  <si>
    <t>11</t>
  </si>
  <si>
    <t>12</t>
  </si>
  <si>
    <t>13</t>
  </si>
  <si>
    <t>Detailed Estimate of Footpath</t>
  </si>
  <si>
    <t>300 mm dia. R.C.C. pipe Non-Pressure NP2</t>
  </si>
  <si>
    <t>Pathway - 3.00m. on either side with Paver block</t>
  </si>
  <si>
    <t>R.C.C. NP2 Hume Pipe for Service duct of 300mm Dia across the road.</t>
  </si>
  <si>
    <t>Proposed Carriageway (without divider) - 9m.</t>
  </si>
  <si>
    <t>Road Ch. 0 to 670m = 670m</t>
  </si>
  <si>
    <t>6X5</t>
  </si>
  <si>
    <t>Road Delineators= 670x3 =2010m /3 = 670No.</t>
  </si>
  <si>
    <t>Road CH. 0 to 670m</t>
  </si>
  <si>
    <t>RCC Covered Drain - Either side  - Size 800x800mm. Under Cycle Track.</t>
  </si>
  <si>
    <t>(ii)Duct for Other utilities Size 500x500mm.</t>
  </si>
  <si>
    <t>Providing and laying 60mm thick factory made cement concrete
interlocking paver block of M-30 grade reflective type rubber modulded glossy colour paving block made by block making machine with strong vibratory compaction and of approved size and shape laid in required
colour and pattern over and including 60mm thick compacted bed of stone dust filling the joints with sand etc. all complete as per the direction of Engineer in charge including locking edges wherever required wihing cement concrete M15 grade or cement mortor 1:3 with pigment of required shade to match the colour /shade of block including cost of labour, material , etc. all complete.</t>
  </si>
  <si>
    <t>Providing and laying 60mm thick factory made cement concrete
interlocking paver block of M-30 grade reflective type rubber modulded glossy colour paving block made by block making machine with strong vibratory compaction and of approved size and shape laid in required colour and pattern over and including 60mm thick compacted bed of stone dust filling the joints with sand etc. all complete as per the direction of Engineer in charge including locking edges wherever required wihing cement concrete M15 grade or cement mortor 1:3 with pigment of required shade to match the colour /shade of block including cost of labour, material , etc. all complete.</t>
  </si>
  <si>
    <t>For Proposed widening of road</t>
  </si>
  <si>
    <t>M20 at outer peripheri for fixing pavers</t>
  </si>
  <si>
    <t>Length of Drain =  670 m Both Side</t>
  </si>
  <si>
    <t>Length of Service Duct no.1 &amp; 2 CH. 0 to 670m</t>
  </si>
  <si>
    <t>Drain  internal dimension 800 mm wide x 800 mm deep</t>
  </si>
  <si>
    <t>Detailed Estimate of Drain &amp; Service Duct</t>
  </si>
  <si>
    <t>2.8 Vol II</t>
  </si>
  <si>
    <t>av</t>
  </si>
  <si>
    <t xml:space="preserve">Earth work in excavation by mechanical means ....drains (not exceeding 1.5 m in width or 10 sqm .......  excavated soil as directed, within a lead of 50 m.
2.8.1 All kinds of soil </t>
  </si>
  <si>
    <t>Drain CH. 0 to 670m</t>
  </si>
  <si>
    <t>Cum</t>
  </si>
  <si>
    <t>Service Duct CH. 0 to 670m</t>
  </si>
  <si>
    <t>Total Excavation</t>
  </si>
  <si>
    <t>2.3 Vol III</t>
  </si>
  <si>
    <t>Dismantling of existing structures</t>
  </si>
  <si>
    <r>
      <t>Dismantling of existing structures like culverts, bridges, retaining walls and other structure comprising of masonry, cement concrete, wood work, steel work,
including T&amp;P and scaffolding wherever necessary, sorting the dismantled material, disposal of unserviceable material and stacking the serviceable material
with all lifts and lead 1000 meter</t>
    </r>
    <r>
      <rPr>
        <b/>
        <sz val="9"/>
        <rFont val="Arial"/>
        <family val="2"/>
      </rPr>
      <t>.b) Cement Concrete Grade M-15 &amp; M-20</t>
    </r>
  </si>
  <si>
    <t>Drain CH. 0 to 900m</t>
  </si>
  <si>
    <t>Footing</t>
  </si>
  <si>
    <t>Wall</t>
  </si>
  <si>
    <t>2.27.1 Vol II</t>
  </si>
  <si>
    <t>Crusher Stone Dust</t>
  </si>
  <si>
    <t>Supplying and filling in plinth under floors including, watering, ramming consolidating and dressing complete</t>
  </si>
  <si>
    <t>4.1.5 Vol II</t>
  </si>
  <si>
    <t>Providing and laying in position cement concrete .... Up to plinth level. 4.1.5 Cement concrete grade M-10 (Nominal Mix) with 40 mm maximum size of stone aggregate</t>
  </si>
  <si>
    <t>Total quantity of M 10 for base</t>
  </si>
  <si>
    <t>5.1.1 Vol II</t>
  </si>
  <si>
    <t>Providing and laying Plain / Reinorced cement concrete (mixed in concrete mixture) … RCC Grade M20 with 20mm maxumum size of aggregate.</t>
  </si>
  <si>
    <t>2X2</t>
  </si>
  <si>
    <t>Precasted</t>
  </si>
  <si>
    <t>Top Slab Over Drain CH. 0 to 670m</t>
  </si>
  <si>
    <t>Top Slab Over Service Duct CH. 0 to 670m</t>
  </si>
  <si>
    <t>Total quantity of M20 (drain)</t>
  </si>
  <si>
    <t>5.20.6 Vol II</t>
  </si>
  <si>
    <t>Kg</t>
  </si>
  <si>
    <t>Reinforcement for R.C.C. work including straightening, cutting, bending, placing in position and binding all complete.
5.20.6 Thermo-Mechanically Treated bars. kilogram</t>
  </si>
  <si>
    <t>Steel required for drain walls and base</t>
  </si>
  <si>
    <t xml:space="preserve">As per X-section shown </t>
  </si>
  <si>
    <t>Outer Bars</t>
  </si>
  <si>
    <t>Main Bar 12mm dia 250c/c</t>
  </si>
  <si>
    <t>2x2700</t>
  </si>
  <si>
    <t xml:space="preserve">Distribution bar 8mm dia 250c/c </t>
  </si>
  <si>
    <t>15x2</t>
  </si>
  <si>
    <t>Inner Bars</t>
  </si>
  <si>
    <t>Main Bar 10mm dia 250c/c</t>
  </si>
  <si>
    <t>2x4465</t>
  </si>
  <si>
    <t>2x2x5</t>
  </si>
  <si>
    <t xml:space="preserve">Top Slab Over Service Duct </t>
  </si>
  <si>
    <t>20.1.1 Vol II</t>
  </si>
  <si>
    <t>Centering and shuttering including strutting, propping etc.and removal of form for :
20.1.1 Foundations, footings, bases of columns, etc. For mass concrete.</t>
  </si>
  <si>
    <t xml:space="preserve">R.C.C. wall outer </t>
  </si>
  <si>
    <t xml:space="preserve">R.C.C. wall Inear </t>
  </si>
  <si>
    <t>R.C.C. Footing</t>
  </si>
  <si>
    <t>Through out length</t>
  </si>
  <si>
    <t>Edge</t>
  </si>
  <si>
    <t>Top Slab Over Service Duct</t>
  </si>
  <si>
    <t>14.8 Vol III</t>
  </si>
  <si>
    <t>PVC Pipe/Weep holes in drain wall</t>
  </si>
  <si>
    <t>Providing PVC Pipe in Brick masonry / Plain / Reinforced concrete abutment, .. as per clause 2706 of specifications.</t>
  </si>
  <si>
    <t>RM.</t>
  </si>
  <si>
    <t>PVC Pipe</t>
  </si>
  <si>
    <t>PVC Pipe Percast Slab</t>
  </si>
  <si>
    <t>2.25 Vol II</t>
  </si>
  <si>
    <t>Back Filling</t>
  </si>
  <si>
    <t>Filling by available excavated earth (excluding rock) in trenches, plinth, sides of foundations etc. in layers not exceeding 20cm in depth, consolidating each deposited
layer by ramming and watering, lead up to 50 m and lift upto 1.5 m.</t>
  </si>
  <si>
    <t>2x2</t>
  </si>
  <si>
    <t>Grand Total</t>
  </si>
  <si>
    <t>PROPOSED ROAD No. 5 (B) FROM BADI OMTI TO MALVIYA CHOWK JABALPUR (M.P.)</t>
  </si>
  <si>
    <t>Service Duct no.1 &amp; 2  internal dimension 900x1200 &amp; 500x500mm deep</t>
  </si>
  <si>
    <t>Service Duct No. 1 CH. 0 to 670m</t>
  </si>
  <si>
    <t>Service Duct No. 2 CH. 0 to 670m</t>
  </si>
  <si>
    <t>Excavation for  Drain &amp; Service Duct</t>
  </si>
  <si>
    <t>Cement Concrete M-10 for Base of  Drain &amp; Service Duct</t>
  </si>
  <si>
    <t>Cement Concrete M-20 Drain &amp; Service Duct</t>
  </si>
  <si>
    <t>Reinforcement for  Drain &amp; Service Duct</t>
  </si>
  <si>
    <t>Form work for Drain &amp; Service Duct</t>
  </si>
  <si>
    <t>22x2</t>
  </si>
  <si>
    <t>2x21</t>
  </si>
  <si>
    <t>2x9</t>
  </si>
  <si>
    <t xml:space="preserve">Distribution bar 12mm dia 250c/c </t>
  </si>
  <si>
    <t xml:space="preserve">Distribution bar 10mm dia 250c/c </t>
  </si>
  <si>
    <t xml:space="preserve">Distribution bar 10 mm dia 250c/c </t>
  </si>
  <si>
    <t xml:space="preserve">RCC Service Duct. Either side </t>
  </si>
  <si>
    <t>(i) Duct for Electrical cable Size 900x1200mm.</t>
  </si>
  <si>
    <t>Length of the Road =670 m, ROW 18m</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</si>
</sst>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_(* #,##0_);_(* \(#,##0\);_(* &quot;-&quot;??_);_(@_)"/>
    <numFmt numFmtId="185" formatCode="0.0000"/>
    <numFmt numFmtId="186" formatCode="0.000"/>
    <numFmt numFmtId="187" formatCode="0.00000"/>
    <numFmt numFmtId="188" formatCode="0.00_)"/>
    <numFmt numFmtId="189" formatCode="0_)"/>
    <numFmt numFmtId="190" formatCode="0.0_)"/>
    <numFmt numFmtId="191" formatCode="0.000_)"/>
    <numFmt numFmtId="192" formatCode="0.00;[Red]0.00"/>
    <numFmt numFmtId="193" formatCode="0.0000_)"/>
    <numFmt numFmtId="194" formatCode="0.00000_)"/>
    <numFmt numFmtId="195" formatCode="0.000000_)"/>
    <numFmt numFmtId="196" formatCode="0.0000000_)"/>
    <numFmt numFmtId="197" formatCode="0.000000"/>
    <numFmt numFmtId="198" formatCode="0.0000000"/>
    <numFmt numFmtId="199" formatCode="0.00000000000"/>
    <numFmt numFmtId="200" formatCode="0.0000000000"/>
  </numFmts>
  <fonts count="60">
    <font>
      <sz val="11"/>
      <color theme="1"/>
      <name val="Calibri"/>
      <family val="2"/>
    </font>
    <font>
      <sz val="11"/>
      <color indexed="8"/>
      <name val="Calibri"/>
      <family val="2"/>
    </font>
    <font>
      <b/>
      <sz val="11"/>
      <name val="Arial"/>
      <family val="2"/>
    </font>
    <font>
      <u val="single"/>
      <sz val="9.35"/>
      <color indexed="36"/>
      <name val="Calibri"/>
      <family val="2"/>
    </font>
    <font>
      <sz val="10"/>
      <name val="Arial"/>
      <family val="2"/>
    </font>
    <font>
      <sz val="9"/>
      <color indexed="8"/>
      <name val="Arial"/>
      <family val="2"/>
    </font>
    <font>
      <b/>
      <sz val="10"/>
      <name val="Arial"/>
      <family val="2"/>
    </font>
    <font>
      <sz val="8"/>
      <name val="Arial"/>
      <family val="2"/>
    </font>
    <font>
      <b/>
      <sz val="9"/>
      <name val="Arial"/>
      <family val="2"/>
    </font>
    <font>
      <sz val="9"/>
      <name val="Arial"/>
      <family val="2"/>
    </font>
    <font>
      <b/>
      <sz val="12"/>
      <name val="Arial"/>
      <family val="2"/>
    </font>
    <font>
      <sz val="11"/>
      <name val="Arial"/>
      <family val="2"/>
    </font>
    <font>
      <b/>
      <sz val="8"/>
      <name val="Arial"/>
      <family val="2"/>
    </font>
    <font>
      <sz val="16"/>
      <name val="Balloon Bd BT"/>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10"/>
      <color indexed="8"/>
      <name val="Arial"/>
      <family val="2"/>
    </font>
    <font>
      <sz val="10"/>
      <color indexed="8"/>
      <name val="Calibri"/>
      <family val="2"/>
    </font>
    <font>
      <sz val="11"/>
      <name val="Calibri"/>
      <family val="2"/>
    </font>
    <font>
      <b/>
      <sz val="9"/>
      <color indexed="8"/>
      <name val="Arial"/>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9"/>
      <color theme="1"/>
      <name val="Arial"/>
      <family val="2"/>
    </font>
    <font>
      <sz val="10"/>
      <color theme="1"/>
      <name val="Arial"/>
      <family val="2"/>
    </font>
    <font>
      <sz val="10"/>
      <color theme="1"/>
      <name val="Calibri"/>
      <family val="2"/>
    </font>
    <font>
      <b/>
      <sz val="9"/>
      <color theme="1"/>
      <name val="Arial"/>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bottom/>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top style="thin"/>
      <bottom/>
    </border>
    <border>
      <left>
        <color indexed="63"/>
      </left>
      <right>
        <color indexed="63"/>
      </right>
      <top>
        <color indexed="63"/>
      </top>
      <bottom style="thin"/>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1"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11">
    <xf numFmtId="0" fontId="0" fillId="0" borderId="0" xfId="0" applyFont="1" applyAlignment="1">
      <alignment/>
    </xf>
    <xf numFmtId="178" fontId="5" fillId="0" borderId="10" xfId="0" applyNumberFormat="1" applyFont="1" applyBorder="1" applyAlignment="1">
      <alignment horizontal="center" vertical="center"/>
    </xf>
    <xf numFmtId="178" fontId="5" fillId="0" borderId="10" xfId="0" applyNumberFormat="1" applyFont="1" applyBorder="1" applyAlignment="1">
      <alignment horizontal="center"/>
    </xf>
    <xf numFmtId="0" fontId="5" fillId="0" borderId="10" xfId="0" applyFont="1" applyBorder="1" applyAlignment="1">
      <alignment/>
    </xf>
    <xf numFmtId="0" fontId="5" fillId="0" borderId="10" xfId="0" applyFont="1" applyBorder="1" applyAlignment="1">
      <alignment horizontal="center" vertical="center" wrapText="1"/>
    </xf>
    <xf numFmtId="2" fontId="4" fillId="0" borderId="10" xfId="0" applyNumberFormat="1" applyFont="1" applyFill="1" applyBorder="1" applyAlignment="1">
      <alignment horizontal="center" wrapText="1" readingOrder="1"/>
    </xf>
    <xf numFmtId="188" fontId="9" fillId="0" borderId="10" xfId="0" applyNumberFormat="1" applyFont="1" applyFill="1" applyBorder="1" applyAlignment="1">
      <alignment horizontal="center"/>
    </xf>
    <xf numFmtId="186" fontId="9" fillId="0" borderId="10" xfId="0" applyNumberFormat="1" applyFont="1" applyFill="1" applyBorder="1" applyAlignment="1">
      <alignment horizontal="center"/>
    </xf>
    <xf numFmtId="188" fontId="9" fillId="0" borderId="10" xfId="0" applyNumberFormat="1" applyFont="1" applyFill="1" applyBorder="1" applyAlignment="1">
      <alignment horizontal="right"/>
    </xf>
    <xf numFmtId="188" fontId="0" fillId="0" borderId="0" xfId="0" applyNumberFormat="1" applyAlignment="1">
      <alignment/>
    </xf>
    <xf numFmtId="189" fontId="9" fillId="0" borderId="10" xfId="0" applyNumberFormat="1" applyFont="1" applyFill="1" applyBorder="1" applyAlignment="1">
      <alignment horizontal="center"/>
    </xf>
    <xf numFmtId="1" fontId="9" fillId="0" borderId="10" xfId="0" applyNumberFormat="1" applyFont="1" applyFill="1" applyBorder="1" applyAlignment="1">
      <alignment/>
    </xf>
    <xf numFmtId="188" fontId="0" fillId="0" borderId="0" xfId="0" applyNumberFormat="1" applyBorder="1" applyAlignment="1">
      <alignment/>
    </xf>
    <xf numFmtId="2" fontId="9" fillId="0" borderId="10" xfId="0" applyNumberFormat="1" applyFont="1" applyFill="1" applyBorder="1" applyAlignment="1">
      <alignment horizontal="center"/>
    </xf>
    <xf numFmtId="1" fontId="9" fillId="0" borderId="10" xfId="0" applyNumberFormat="1" applyFont="1" applyFill="1" applyBorder="1" applyAlignment="1">
      <alignment horizontal="right"/>
    </xf>
    <xf numFmtId="0" fontId="5" fillId="0" borderId="10" xfId="42" applyNumberFormat="1" applyFont="1" applyBorder="1" applyAlignment="1">
      <alignment horizontal="right" wrapText="1"/>
    </xf>
    <xf numFmtId="0" fontId="0" fillId="0" borderId="0" xfId="0" applyBorder="1" applyAlignment="1">
      <alignment/>
    </xf>
    <xf numFmtId="188" fontId="0" fillId="0" borderId="0" xfId="0" applyNumberFormat="1" applyFill="1" applyAlignment="1">
      <alignment/>
    </xf>
    <xf numFmtId="1" fontId="9" fillId="0" borderId="11" xfId="0" applyNumberFormat="1" applyFont="1" applyFill="1" applyBorder="1" applyAlignment="1">
      <alignment/>
    </xf>
    <xf numFmtId="188" fontId="9" fillId="0" borderId="0" xfId="57" applyNumberFormat="1" applyFont="1" applyFill="1">
      <alignment/>
      <protection/>
    </xf>
    <xf numFmtId="189" fontId="9" fillId="0" borderId="10" xfId="0" applyNumberFormat="1" applyFont="1" applyFill="1" applyBorder="1" applyAlignment="1">
      <alignment horizontal="center" wrapText="1" readingOrder="1"/>
    </xf>
    <xf numFmtId="2" fontId="9" fillId="0" borderId="10" xfId="0" applyNumberFormat="1" applyFont="1" applyFill="1" applyBorder="1" applyAlignment="1">
      <alignment horizontal="right"/>
    </xf>
    <xf numFmtId="2" fontId="4" fillId="0" borderId="10" xfId="0" applyNumberFormat="1" applyFont="1" applyFill="1" applyBorder="1" applyAlignment="1">
      <alignment horizontal="center"/>
    </xf>
    <xf numFmtId="188" fontId="0" fillId="0" borderId="0" xfId="0" applyNumberFormat="1" applyAlignment="1">
      <alignment vertical="center"/>
    </xf>
    <xf numFmtId="188" fontId="0" fillId="0" borderId="0" xfId="0" applyNumberFormat="1" applyBorder="1" applyAlignment="1">
      <alignment vertical="center"/>
    </xf>
    <xf numFmtId="189" fontId="4" fillId="0" borderId="10" xfId="0" applyNumberFormat="1" applyFont="1" applyBorder="1" applyAlignment="1">
      <alignment horizontal="center" vertical="center"/>
    </xf>
    <xf numFmtId="2" fontId="0" fillId="0" borderId="10" xfId="0" applyNumberFormat="1" applyBorder="1" applyAlignment="1">
      <alignment/>
    </xf>
    <xf numFmtId="188" fontId="9" fillId="0" borderId="12" xfId="0" applyNumberFormat="1" applyFont="1" applyFill="1" applyBorder="1" applyAlignment="1">
      <alignment horizontal="left" vertical="top"/>
    </xf>
    <xf numFmtId="188" fontId="9" fillId="0" borderId="0" xfId="0" applyNumberFormat="1" applyFont="1" applyAlignment="1">
      <alignment/>
    </xf>
    <xf numFmtId="188" fontId="9" fillId="0" borderId="10" xfId="0" applyNumberFormat="1" applyFont="1" applyFill="1" applyBorder="1" applyAlignment="1">
      <alignment horizontal="right" vertical="center"/>
    </xf>
    <xf numFmtId="0" fontId="54" fillId="0" borderId="10" xfId="0" applyFont="1" applyBorder="1" applyAlignment="1">
      <alignment/>
    </xf>
    <xf numFmtId="186" fontId="9" fillId="0" borderId="10" xfId="0" applyNumberFormat="1" applyFont="1" applyFill="1" applyBorder="1" applyAlignment="1">
      <alignment horizontal="center" wrapText="1" readingOrder="1"/>
    </xf>
    <xf numFmtId="2" fontId="9" fillId="0" borderId="10" xfId="0" applyNumberFormat="1" applyFont="1" applyFill="1" applyBorder="1" applyAlignment="1">
      <alignment horizontal="center" wrapText="1" readingOrder="1"/>
    </xf>
    <xf numFmtId="0" fontId="55" fillId="0" borderId="10" xfId="0" applyFont="1" applyBorder="1" applyAlignment="1">
      <alignment/>
    </xf>
    <xf numFmtId="1" fontId="9" fillId="0" borderId="10" xfId="0" applyNumberFormat="1" applyFont="1" applyFill="1" applyBorder="1" applyAlignment="1">
      <alignment horizontal="center" wrapText="1" readingOrder="1"/>
    </xf>
    <xf numFmtId="186" fontId="9" fillId="0" borderId="10" xfId="0" applyNumberFormat="1" applyFont="1" applyFill="1" applyBorder="1" applyAlignment="1">
      <alignment horizontal="right" wrapText="1" readingOrder="1"/>
    </xf>
    <xf numFmtId="2" fontId="9" fillId="0" borderId="10" xfId="0" applyNumberFormat="1" applyFont="1" applyFill="1" applyBorder="1" applyAlignment="1">
      <alignment horizontal="right" wrapText="1" readingOrder="1"/>
    </xf>
    <xf numFmtId="1" fontId="9" fillId="0" borderId="10" xfId="0" applyNumberFormat="1" applyFont="1" applyFill="1" applyBorder="1" applyAlignment="1">
      <alignment horizontal="right" wrapText="1" readingOrder="1"/>
    </xf>
    <xf numFmtId="0" fontId="54" fillId="0" borderId="10" xfId="0" applyFont="1" applyBorder="1" applyAlignment="1">
      <alignment horizontal="right"/>
    </xf>
    <xf numFmtId="1" fontId="9" fillId="0" borderId="10" xfId="0" applyNumberFormat="1" applyFont="1" applyFill="1" applyBorder="1" applyAlignment="1">
      <alignment horizontal="right" vertical="center"/>
    </xf>
    <xf numFmtId="178" fontId="9" fillId="0" borderId="10" xfId="0" applyNumberFormat="1" applyFont="1" applyFill="1" applyBorder="1" applyAlignment="1">
      <alignment horizontal="right" wrapText="1" readingOrder="1"/>
    </xf>
    <xf numFmtId="1" fontId="54" fillId="0" borderId="10" xfId="0" applyNumberFormat="1" applyFont="1" applyBorder="1" applyAlignment="1">
      <alignment horizontal="right"/>
    </xf>
    <xf numFmtId="190" fontId="9" fillId="0" borderId="10" xfId="0" applyNumberFormat="1" applyFont="1" applyFill="1" applyBorder="1" applyAlignment="1">
      <alignment horizontal="center"/>
    </xf>
    <xf numFmtId="190" fontId="55" fillId="0" borderId="10" xfId="0" applyNumberFormat="1" applyFont="1" applyBorder="1" applyAlignment="1">
      <alignment/>
    </xf>
    <xf numFmtId="189" fontId="8" fillId="33" borderId="10" xfId="0" applyNumberFormat="1" applyFont="1" applyFill="1" applyBorder="1" applyAlignment="1">
      <alignment horizontal="center" vertical="center"/>
    </xf>
    <xf numFmtId="189" fontId="9" fillId="0" borderId="10" xfId="0" applyNumberFormat="1" applyFont="1" applyFill="1" applyBorder="1" applyAlignment="1">
      <alignment/>
    </xf>
    <xf numFmtId="189" fontId="5" fillId="0" borderId="10" xfId="0" applyNumberFormat="1" applyFont="1" applyBorder="1" applyAlignment="1">
      <alignment horizontal="center" wrapText="1"/>
    </xf>
    <xf numFmtId="189" fontId="5" fillId="0" borderId="10" xfId="0" applyNumberFormat="1" applyFont="1" applyBorder="1" applyAlignment="1">
      <alignment vertical="top" wrapText="1"/>
    </xf>
    <xf numFmtId="189" fontId="54" fillId="0" borderId="10" xfId="0" applyNumberFormat="1" applyFont="1" applyBorder="1" applyAlignment="1">
      <alignment/>
    </xf>
    <xf numFmtId="2" fontId="8" fillId="33" borderId="10" xfId="0" applyNumberFormat="1" applyFont="1" applyFill="1" applyBorder="1" applyAlignment="1">
      <alignment horizontal="center" vertical="center"/>
    </xf>
    <xf numFmtId="2" fontId="5" fillId="0" borderId="10" xfId="0" applyNumberFormat="1" applyFont="1" applyBorder="1" applyAlignment="1">
      <alignment horizontal="center" wrapText="1"/>
    </xf>
    <xf numFmtId="2" fontId="5" fillId="0" borderId="10" xfId="0" applyNumberFormat="1" applyFont="1" applyBorder="1" applyAlignment="1">
      <alignment vertical="top" wrapText="1"/>
    </xf>
    <xf numFmtId="2" fontId="54" fillId="0" borderId="10" xfId="0" applyNumberFormat="1" applyFont="1" applyBorder="1" applyAlignment="1">
      <alignment/>
    </xf>
    <xf numFmtId="2" fontId="55" fillId="0" borderId="10" xfId="0" applyNumberFormat="1" applyFont="1" applyBorder="1" applyAlignment="1">
      <alignment/>
    </xf>
    <xf numFmtId="2" fontId="6" fillId="33" borderId="10" xfId="0" applyNumberFormat="1" applyFont="1" applyFill="1" applyBorder="1" applyAlignment="1">
      <alignment horizontal="center" vertical="center"/>
    </xf>
    <xf numFmtId="189" fontId="5" fillId="0" borderId="10" xfId="0" applyNumberFormat="1" applyFont="1" applyBorder="1" applyAlignment="1">
      <alignment/>
    </xf>
    <xf numFmtId="189" fontId="9" fillId="0" borderId="10" xfId="0" applyNumberFormat="1" applyFont="1" applyFill="1" applyBorder="1" applyAlignment="1">
      <alignment wrapText="1" readingOrder="1"/>
    </xf>
    <xf numFmtId="0" fontId="55" fillId="0" borderId="10" xfId="0" applyFont="1" applyBorder="1" applyAlignment="1">
      <alignment horizontal="right"/>
    </xf>
    <xf numFmtId="49" fontId="9" fillId="0" borderId="13" xfId="0" applyNumberFormat="1" applyFont="1" applyFill="1" applyBorder="1" applyAlignment="1">
      <alignment vertical="top" wrapText="1"/>
    </xf>
    <xf numFmtId="0" fontId="7" fillId="0" borderId="0" xfId="0" applyFont="1" applyBorder="1" applyAlignment="1">
      <alignment/>
    </xf>
    <xf numFmtId="188" fontId="9" fillId="0" borderId="0" xfId="0" applyNumberFormat="1" applyFont="1" applyBorder="1" applyAlignment="1">
      <alignment/>
    </xf>
    <xf numFmtId="0" fontId="9" fillId="0" borderId="10" xfId="0" applyNumberFormat="1" applyFont="1" applyFill="1" applyBorder="1" applyAlignment="1">
      <alignment horizontal="right"/>
    </xf>
    <xf numFmtId="188" fontId="9" fillId="0" borderId="13" xfId="0" applyNumberFormat="1" applyFont="1" applyFill="1" applyBorder="1" applyAlignment="1">
      <alignment horizontal="center" vertical="top"/>
    </xf>
    <xf numFmtId="186" fontId="9" fillId="0" borderId="13" xfId="0" applyNumberFormat="1" applyFont="1" applyFill="1" applyBorder="1" applyAlignment="1">
      <alignment horizontal="center" vertical="top" wrapText="1"/>
    </xf>
    <xf numFmtId="188" fontId="4" fillId="0" borderId="10" xfId="0" applyNumberFormat="1" applyFont="1" applyFill="1" applyBorder="1" applyAlignment="1">
      <alignment horizontal="center" vertical="top"/>
    </xf>
    <xf numFmtId="188" fontId="6" fillId="0" borderId="0" xfId="0" applyNumberFormat="1" applyFont="1" applyBorder="1" applyAlignment="1">
      <alignment horizontal="left" vertical="center"/>
    </xf>
    <xf numFmtId="49" fontId="4" fillId="0" borderId="10" xfId="57" applyNumberFormat="1" applyFont="1" applyFill="1" applyBorder="1" applyAlignment="1">
      <alignment horizontal="center" vertical="top"/>
      <protection/>
    </xf>
    <xf numFmtId="49" fontId="4" fillId="0" borderId="10"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4" fillId="0" borderId="13" xfId="57" applyNumberFormat="1" applyFont="1" applyFill="1" applyBorder="1" applyAlignment="1">
      <alignment horizontal="center" vertical="top"/>
      <protection/>
    </xf>
    <xf numFmtId="190" fontId="9" fillId="0" borderId="10" xfId="0" applyNumberFormat="1" applyFont="1" applyFill="1" applyBorder="1" applyAlignment="1">
      <alignment horizontal="right"/>
    </xf>
    <xf numFmtId="188" fontId="8" fillId="33" borderId="10" xfId="0" applyNumberFormat="1" applyFont="1" applyFill="1" applyBorder="1" applyAlignment="1">
      <alignment horizontal="center" vertical="center"/>
    </xf>
    <xf numFmtId="49" fontId="9" fillId="0" borderId="14" xfId="57" applyNumberFormat="1" applyFont="1" applyFill="1" applyBorder="1" applyAlignment="1">
      <alignment horizontal="center" vertical="top" wrapText="1"/>
      <protection/>
    </xf>
    <xf numFmtId="188" fontId="9" fillId="0" borderId="12" xfId="0" applyNumberFormat="1" applyFont="1" applyFill="1" applyBorder="1" applyAlignment="1">
      <alignment horizontal="left" wrapText="1"/>
    </xf>
    <xf numFmtId="188" fontId="9" fillId="0" borderId="10" xfId="0" applyNumberFormat="1" applyFont="1" applyFill="1" applyBorder="1" applyAlignment="1">
      <alignment horizontal="left" wrapText="1"/>
    </xf>
    <xf numFmtId="0" fontId="56" fillId="0" borderId="10" xfId="0" applyFont="1" applyBorder="1" applyAlignment="1">
      <alignment horizontal="center"/>
    </xf>
    <xf numFmtId="188" fontId="9" fillId="0" borderId="10" xfId="0" applyNumberFormat="1" applyFont="1" applyFill="1" applyBorder="1" applyAlignment="1">
      <alignment/>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89" fontId="4" fillId="0" borderId="10" xfId="0" applyNumberFormat="1" applyFont="1" applyFill="1" applyBorder="1" applyAlignment="1">
      <alignment horizontal="center"/>
    </xf>
    <xf numFmtId="188" fontId="4" fillId="0" borderId="10" xfId="0" applyNumberFormat="1" applyFont="1" applyFill="1" applyBorder="1" applyAlignment="1">
      <alignment horizontal="center"/>
    </xf>
    <xf numFmtId="188" fontId="4" fillId="0" borderId="10" xfId="0" applyNumberFormat="1" applyFont="1" applyFill="1" applyBorder="1" applyAlignment="1">
      <alignment horizontal="center" wrapText="1" readingOrder="1"/>
    </xf>
    <xf numFmtId="188" fontId="4" fillId="0" borderId="10" xfId="0" applyNumberFormat="1" applyFont="1" applyFill="1" applyBorder="1" applyAlignment="1">
      <alignment horizontal="right"/>
    </xf>
    <xf numFmtId="1" fontId="4" fillId="0" borderId="10" xfId="0" applyNumberFormat="1" applyFont="1" applyFill="1" applyBorder="1" applyAlignment="1">
      <alignment horizontal="right"/>
    </xf>
    <xf numFmtId="189" fontId="4" fillId="0" borderId="10" xfId="0" applyNumberFormat="1" applyFont="1" applyFill="1" applyBorder="1" applyAlignment="1">
      <alignment horizontal="center" wrapText="1" readingOrder="1"/>
    </xf>
    <xf numFmtId="0" fontId="0" fillId="0" borderId="0" xfId="0" applyAlignment="1">
      <alignment vertical="center"/>
    </xf>
    <xf numFmtId="186" fontId="6" fillId="33" borderId="10" xfId="0" applyNumberFormat="1" applyFont="1" applyFill="1" applyBorder="1" applyAlignment="1">
      <alignment horizontal="center" vertical="center"/>
    </xf>
    <xf numFmtId="49" fontId="6" fillId="0" borderId="10" xfId="57" applyNumberFormat="1" applyFont="1" applyFill="1" applyBorder="1" applyAlignment="1">
      <alignment horizontal="center" vertical="center" wrapText="1"/>
      <protection/>
    </xf>
    <xf numFmtId="188" fontId="6" fillId="0" borderId="10" xfId="0" applyNumberFormat="1" applyFont="1" applyFill="1" applyBorder="1" applyAlignment="1">
      <alignment horizontal="center" vertical="center"/>
    </xf>
    <xf numFmtId="186" fontId="6" fillId="0" borderId="10" xfId="0" applyNumberFormat="1" applyFont="1" applyFill="1" applyBorder="1" applyAlignment="1">
      <alignment horizontal="center" vertical="center"/>
    </xf>
    <xf numFmtId="188" fontId="6" fillId="0" borderId="10" xfId="0" applyNumberFormat="1" applyFont="1" applyFill="1" applyBorder="1" applyAlignment="1">
      <alignment horizontal="right" vertical="center"/>
    </xf>
    <xf numFmtId="1" fontId="6" fillId="0" borderId="10" xfId="0" applyNumberFormat="1" applyFont="1" applyFill="1" applyBorder="1" applyAlignment="1">
      <alignment vertical="center"/>
    </xf>
    <xf numFmtId="186" fontId="4" fillId="0" borderId="10" xfId="0" applyNumberFormat="1" applyFont="1" applyFill="1" applyBorder="1" applyAlignment="1">
      <alignment horizontal="center"/>
    </xf>
    <xf numFmtId="190" fontId="4" fillId="0" borderId="10" xfId="0" applyNumberFormat="1" applyFont="1" applyFill="1" applyBorder="1" applyAlignment="1">
      <alignment horizontal="center"/>
    </xf>
    <xf numFmtId="188" fontId="4" fillId="0" borderId="11" xfId="0" applyNumberFormat="1" applyFont="1" applyFill="1" applyBorder="1" applyAlignment="1">
      <alignment horizontal="right"/>
    </xf>
    <xf numFmtId="188" fontId="4" fillId="0" borderId="11" xfId="0" applyNumberFormat="1" applyFont="1" applyFill="1" applyBorder="1" applyAlignment="1">
      <alignment/>
    </xf>
    <xf numFmtId="1" fontId="4" fillId="0" borderId="11" xfId="0" applyNumberFormat="1" applyFont="1" applyFill="1" applyBorder="1" applyAlignment="1">
      <alignment/>
    </xf>
    <xf numFmtId="189" fontId="6" fillId="0" borderId="10" xfId="0" applyNumberFormat="1" applyFont="1" applyFill="1" applyBorder="1" applyAlignment="1">
      <alignment horizontal="center" vertical="center"/>
    </xf>
    <xf numFmtId="186" fontId="4" fillId="0" borderId="10" xfId="0" applyNumberFormat="1" applyFont="1" applyFill="1" applyBorder="1" applyAlignment="1">
      <alignment horizontal="center" wrapText="1"/>
    </xf>
    <xf numFmtId="188" fontId="12" fillId="0" borderId="10" xfId="0" applyNumberFormat="1" applyFont="1" applyFill="1" applyBorder="1" applyAlignment="1">
      <alignment horizontal="center" vertical="center" wrapText="1"/>
    </xf>
    <xf numFmtId="188" fontId="4" fillId="0" borderId="10" xfId="0" applyNumberFormat="1" applyFont="1" applyFill="1" applyBorder="1" applyAlignment="1">
      <alignment/>
    </xf>
    <xf numFmtId="1" fontId="4" fillId="0" borderId="10" xfId="0" applyNumberFormat="1" applyFont="1" applyFill="1" applyBorder="1" applyAlignment="1">
      <alignment/>
    </xf>
    <xf numFmtId="186" fontId="0" fillId="0" borderId="0" xfId="0" applyNumberFormat="1" applyAlignment="1">
      <alignment/>
    </xf>
    <xf numFmtId="188" fontId="0" fillId="0" borderId="0" xfId="0" applyNumberFormat="1" applyAlignment="1">
      <alignment horizontal="right"/>
    </xf>
    <xf numFmtId="1" fontId="0" fillId="0" borderId="0" xfId="0" applyNumberFormat="1" applyAlignment="1">
      <alignment/>
    </xf>
    <xf numFmtId="49" fontId="6" fillId="0" borderId="11" xfId="0" applyNumberFormat="1" applyFont="1" applyFill="1" applyBorder="1" applyAlignment="1">
      <alignment horizontal="center"/>
    </xf>
    <xf numFmtId="189" fontId="4" fillId="0" borderId="10" xfId="0" applyNumberFormat="1" applyFont="1" applyFill="1" applyBorder="1" applyAlignment="1">
      <alignment horizontal="center" vertical="center"/>
    </xf>
    <xf numFmtId="188" fontId="4" fillId="0" borderId="10" xfId="0" applyNumberFormat="1" applyFont="1" applyFill="1" applyBorder="1" applyAlignment="1">
      <alignment vertical="center"/>
    </xf>
    <xf numFmtId="188" fontId="4" fillId="0" borderId="10" xfId="0" applyNumberFormat="1" applyFont="1" applyFill="1" applyBorder="1" applyAlignment="1">
      <alignment horizontal="right" vertical="center"/>
    </xf>
    <xf numFmtId="188" fontId="12"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xf>
    <xf numFmtId="189" fontId="6" fillId="0" borderId="13" xfId="0" applyNumberFormat="1" applyFont="1" applyFill="1" applyBorder="1" applyAlignment="1">
      <alignment horizontal="center" vertical="center"/>
    </xf>
    <xf numFmtId="49" fontId="6" fillId="0" borderId="10" xfId="57" applyNumberFormat="1" applyFont="1" applyFill="1" applyBorder="1" applyAlignment="1">
      <alignment horizontal="justify" vertical="center"/>
      <protection/>
    </xf>
    <xf numFmtId="188" fontId="4" fillId="0" borderId="10" xfId="57" applyNumberFormat="1" applyFont="1" applyBorder="1" applyAlignment="1">
      <alignment/>
      <protection/>
    </xf>
    <xf numFmtId="49" fontId="6" fillId="34" borderId="13" xfId="57" applyNumberFormat="1" applyFont="1" applyFill="1" applyBorder="1" applyAlignment="1">
      <alignment horizontal="center" vertical="top"/>
      <protection/>
    </xf>
    <xf numFmtId="49" fontId="6" fillId="34" borderId="10" xfId="57" applyNumberFormat="1" applyFont="1" applyFill="1" applyBorder="1" applyAlignment="1">
      <alignment vertical="top"/>
      <protection/>
    </xf>
    <xf numFmtId="1" fontId="4" fillId="34" borderId="10" xfId="0" applyNumberFormat="1" applyFont="1" applyFill="1" applyBorder="1" applyAlignment="1">
      <alignment/>
    </xf>
    <xf numFmtId="188" fontId="0" fillId="34" borderId="0" xfId="0" applyNumberFormat="1" applyFill="1" applyAlignment="1">
      <alignment/>
    </xf>
    <xf numFmtId="189" fontId="4" fillId="34" borderId="10" xfId="57" applyNumberFormat="1" applyFont="1" applyFill="1" applyBorder="1" applyAlignment="1" quotePrefix="1">
      <alignment/>
      <protection/>
    </xf>
    <xf numFmtId="188" fontId="4" fillId="34" borderId="10" xfId="57" applyNumberFormat="1" applyFont="1" applyFill="1" applyBorder="1" applyAlignment="1" quotePrefix="1">
      <alignment/>
      <protection/>
    </xf>
    <xf numFmtId="188" fontId="4" fillId="34" borderId="10" xfId="57" applyNumberFormat="1" applyFill="1" applyBorder="1" applyAlignment="1" quotePrefix="1">
      <alignment/>
      <protection/>
    </xf>
    <xf numFmtId="188" fontId="4" fillId="34" borderId="10" xfId="57" applyNumberFormat="1" applyFont="1" applyFill="1" applyBorder="1" applyAlignment="1">
      <alignment/>
      <protection/>
    </xf>
    <xf numFmtId="188" fontId="4" fillId="34" borderId="10" xfId="57" applyNumberFormat="1" applyFill="1" applyBorder="1" applyAlignment="1">
      <alignment/>
      <protection/>
    </xf>
    <xf numFmtId="188" fontId="4" fillId="34" borderId="10" xfId="57" applyNumberFormat="1" applyFill="1" applyBorder="1" applyAlignment="1">
      <alignment horizontal="right"/>
      <protection/>
    </xf>
    <xf numFmtId="1" fontId="4" fillId="34" borderId="10" xfId="57" applyNumberFormat="1" applyFill="1" applyBorder="1" applyAlignment="1">
      <alignment/>
      <protection/>
    </xf>
    <xf numFmtId="188" fontId="4" fillId="34" borderId="10" xfId="57" applyNumberFormat="1" applyFill="1" applyBorder="1" applyAlignment="1">
      <alignment horizontal="center"/>
      <protection/>
    </xf>
    <xf numFmtId="188" fontId="4" fillId="34" borderId="10" xfId="0" applyNumberFormat="1" applyFont="1" applyFill="1" applyBorder="1" applyAlignment="1">
      <alignment horizontal="center" vertical="center"/>
    </xf>
    <xf numFmtId="189" fontId="4" fillId="34" borderId="10" xfId="0" applyNumberFormat="1" applyFont="1" applyFill="1" applyBorder="1" applyAlignment="1">
      <alignment horizontal="center" vertical="center" wrapText="1"/>
    </xf>
    <xf numFmtId="188" fontId="4" fillId="34" borderId="10" xfId="0" applyNumberFormat="1" applyFont="1" applyFill="1" applyBorder="1" applyAlignment="1">
      <alignment horizontal="center" vertical="center" wrapText="1"/>
    </xf>
    <xf numFmtId="191" fontId="4" fillId="34" borderId="10" xfId="0" applyNumberFormat="1" applyFont="1" applyFill="1" applyBorder="1" applyAlignment="1">
      <alignment horizontal="center" vertical="center"/>
    </xf>
    <xf numFmtId="189" fontId="4" fillId="34" borderId="10" xfId="0" applyNumberFormat="1" applyFont="1" applyFill="1" applyBorder="1" applyAlignment="1">
      <alignment horizontal="right"/>
    </xf>
    <xf numFmtId="189" fontId="4" fillId="34" borderId="10" xfId="0" applyNumberFormat="1" applyFont="1" applyFill="1" applyBorder="1" applyAlignment="1">
      <alignment horizontal="center" vertical="center"/>
    </xf>
    <xf numFmtId="186" fontId="4" fillId="34" borderId="10" xfId="0" applyNumberFormat="1" applyFont="1" applyFill="1" applyBorder="1" applyAlignment="1">
      <alignment horizontal="center" vertical="center" wrapText="1"/>
    </xf>
    <xf numFmtId="186" fontId="4" fillId="34" borderId="10" xfId="0" applyNumberFormat="1" applyFont="1" applyFill="1" applyBorder="1" applyAlignment="1">
      <alignment horizontal="center" vertical="center"/>
    </xf>
    <xf numFmtId="188" fontId="4" fillId="34" borderId="10" xfId="0" applyNumberFormat="1" applyFont="1" applyFill="1" applyBorder="1" applyAlignment="1">
      <alignment horizontal="right" vertical="center"/>
    </xf>
    <xf numFmtId="188" fontId="4" fillId="34" borderId="10" xfId="0" applyNumberFormat="1" applyFont="1" applyFill="1" applyBorder="1" applyAlignment="1">
      <alignment horizontal="right"/>
    </xf>
    <xf numFmtId="188" fontId="4" fillId="34" borderId="10" xfId="0" applyNumberFormat="1" applyFont="1" applyFill="1" applyBorder="1" applyAlignment="1">
      <alignment horizontal="center"/>
    </xf>
    <xf numFmtId="190" fontId="4" fillId="34" borderId="10" xfId="0" applyNumberFormat="1" applyFont="1" applyFill="1" applyBorder="1" applyAlignment="1">
      <alignment horizontal="center" vertical="center" wrapText="1"/>
    </xf>
    <xf numFmtId="190" fontId="4" fillId="34" borderId="10" xfId="0" applyNumberFormat="1" applyFont="1" applyFill="1" applyBorder="1" applyAlignment="1">
      <alignment horizontal="center" vertical="center"/>
    </xf>
    <xf numFmtId="189" fontId="4" fillId="34" borderId="10" xfId="0" applyNumberFormat="1" applyFont="1" applyFill="1" applyBorder="1" applyAlignment="1">
      <alignment horizontal="right" vertical="center"/>
    </xf>
    <xf numFmtId="188" fontId="4" fillId="34" borderId="11" xfId="0" applyNumberFormat="1" applyFont="1" applyFill="1" applyBorder="1" applyAlignment="1">
      <alignment horizontal="right"/>
    </xf>
    <xf numFmtId="188" fontId="4" fillId="34" borderId="11" xfId="57" applyNumberFormat="1" applyFont="1" applyFill="1" applyBorder="1" applyAlignment="1">
      <alignment horizontal="center"/>
      <protection/>
    </xf>
    <xf numFmtId="1" fontId="4" fillId="34" borderId="11" xfId="0" applyNumberFormat="1" applyFont="1" applyFill="1" applyBorder="1" applyAlignment="1">
      <alignment/>
    </xf>
    <xf numFmtId="2" fontId="4" fillId="34" borderId="10" xfId="0" applyNumberFormat="1" applyFont="1" applyFill="1" applyBorder="1" applyAlignment="1">
      <alignment horizontal="center" vertical="center" wrapText="1"/>
    </xf>
    <xf numFmtId="190" fontId="4" fillId="34" borderId="10" xfId="0" applyNumberFormat="1" applyFont="1" applyFill="1" applyBorder="1" applyAlignment="1">
      <alignment horizontal="right" vertical="center"/>
    </xf>
    <xf numFmtId="49" fontId="6" fillId="34" borderId="10" xfId="57" applyNumberFormat="1" applyFont="1" applyFill="1" applyBorder="1" applyAlignment="1">
      <alignment horizontal="center" vertical="top" wrapText="1"/>
      <protection/>
    </xf>
    <xf numFmtId="188" fontId="12" fillId="34" borderId="10" xfId="0" applyNumberFormat="1" applyFont="1" applyFill="1" applyBorder="1" applyAlignment="1">
      <alignment horizontal="center" vertical="top"/>
    </xf>
    <xf numFmtId="188" fontId="12" fillId="34" borderId="10" xfId="0" applyNumberFormat="1" applyFont="1" applyFill="1" applyBorder="1" applyAlignment="1">
      <alignment horizontal="center" vertical="top" wrapText="1"/>
    </xf>
    <xf numFmtId="190" fontId="4" fillId="34" borderId="10" xfId="0" applyNumberFormat="1" applyFont="1" applyFill="1" applyBorder="1" applyAlignment="1">
      <alignment horizontal="right"/>
    </xf>
    <xf numFmtId="1" fontId="4" fillId="34" borderId="15" xfId="0" applyNumberFormat="1" applyFont="1" applyFill="1" applyBorder="1" applyAlignment="1">
      <alignment/>
    </xf>
    <xf numFmtId="1" fontId="0" fillId="0" borderId="10" xfId="0" applyNumberFormat="1" applyBorder="1" applyAlignment="1">
      <alignment/>
    </xf>
    <xf numFmtId="1" fontId="4" fillId="0" borderId="10" xfId="0" applyNumberFormat="1" applyFont="1" applyFill="1" applyBorder="1" applyAlignment="1">
      <alignment horizontal="right" vertical="center"/>
    </xf>
    <xf numFmtId="188" fontId="4" fillId="0" borderId="10" xfId="0" applyNumberFormat="1" applyFont="1" applyFill="1" applyBorder="1" applyAlignment="1">
      <alignment horizontal="center" wrapText="1"/>
    </xf>
    <xf numFmtId="186" fontId="4" fillId="0" borderId="10" xfId="0" applyNumberFormat="1" applyFont="1" applyFill="1" applyBorder="1" applyAlignment="1">
      <alignment/>
    </xf>
    <xf numFmtId="191" fontId="4" fillId="0" borderId="10" xfId="0" applyNumberFormat="1" applyFont="1" applyFill="1" applyBorder="1" applyAlignment="1">
      <alignment vertical="center"/>
    </xf>
    <xf numFmtId="49" fontId="8" fillId="0" borderId="10" xfId="0" applyNumberFormat="1" applyFont="1" applyFill="1" applyBorder="1" applyAlignment="1">
      <alignment vertical="top" wrapText="1"/>
    </xf>
    <xf numFmtId="1" fontId="2" fillId="0" borderId="10" xfId="0" applyNumberFormat="1" applyFont="1" applyFill="1" applyBorder="1" applyAlignment="1">
      <alignment horizontal="center" vertical="center" wrapText="1"/>
    </xf>
    <xf numFmtId="189" fontId="4" fillId="0" borderId="10" xfId="0" applyNumberFormat="1" applyFont="1" applyFill="1" applyBorder="1" applyAlignment="1">
      <alignment horizontal="right" vertical="center"/>
    </xf>
    <xf numFmtId="0" fontId="0" fillId="0" borderId="16" xfId="0" applyBorder="1" applyAlignment="1">
      <alignment/>
    </xf>
    <xf numFmtId="0" fontId="0" fillId="0" borderId="15" xfId="0" applyBorder="1" applyAlignment="1">
      <alignment/>
    </xf>
    <xf numFmtId="0" fontId="10" fillId="0" borderId="0" xfId="0" applyFont="1" applyBorder="1" applyAlignment="1">
      <alignment horizontal="center"/>
    </xf>
    <xf numFmtId="0" fontId="2" fillId="0" borderId="0" xfId="0" applyFont="1" applyAlignment="1">
      <alignment/>
    </xf>
    <xf numFmtId="188" fontId="9" fillId="0" borderId="0" xfId="0" applyNumberFormat="1"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1" fillId="0" borderId="0" xfId="0" applyFont="1" applyAlignment="1">
      <alignment vertical="center"/>
    </xf>
    <xf numFmtId="0" fontId="0" fillId="0" borderId="10" xfId="0" applyBorder="1" applyAlignment="1">
      <alignment horizontal="center" vertical="center"/>
    </xf>
    <xf numFmtId="1" fontId="4" fillId="0" borderId="10" xfId="0" applyNumberFormat="1" applyFont="1" applyBorder="1" applyAlignment="1">
      <alignment horizontal="right" vertical="center"/>
    </xf>
    <xf numFmtId="0" fontId="0" fillId="0" borderId="10" xfId="0" applyBorder="1" applyAlignment="1">
      <alignment/>
    </xf>
    <xf numFmtId="1" fontId="6" fillId="0" borderId="10" xfId="0" applyNumberFormat="1" applyFont="1" applyBorder="1" applyAlignment="1">
      <alignment horizontal="right" vertical="center"/>
    </xf>
    <xf numFmtId="0" fontId="6" fillId="0" borderId="0" xfId="0" applyFont="1" applyBorder="1" applyAlignment="1">
      <alignment horizontal="center" vertical="center"/>
    </xf>
    <xf numFmtId="0" fontId="7" fillId="0" borderId="17" xfId="0" applyFont="1" applyBorder="1" applyAlignment="1">
      <alignment vertical="center"/>
    </xf>
    <xf numFmtId="2" fontId="6" fillId="0" borderId="0" xfId="0" applyNumberFormat="1" applyFont="1" applyBorder="1" applyAlignment="1">
      <alignment horizontal="right" vertical="center"/>
    </xf>
    <xf numFmtId="0" fontId="0" fillId="0" borderId="0" xfId="0" applyBorder="1" applyAlignment="1">
      <alignment vertical="center"/>
    </xf>
    <xf numFmtId="188" fontId="8" fillId="0" borderId="0" xfId="0" applyNumberFormat="1" applyFont="1" applyBorder="1" applyAlignment="1">
      <alignment horizontal="center" vertical="center"/>
    </xf>
    <xf numFmtId="188" fontId="8" fillId="0" borderId="0" xfId="0" applyNumberFormat="1" applyFont="1" applyBorder="1" applyAlignment="1">
      <alignment/>
    </xf>
    <xf numFmtId="188" fontId="4" fillId="0" borderId="10" xfId="0" applyNumberFormat="1" applyFont="1" applyBorder="1" applyAlignment="1">
      <alignment horizontal="left" vertical="center" indent="1"/>
    </xf>
    <xf numFmtId="188" fontId="4" fillId="0" borderId="10" xfId="0" applyNumberFormat="1" applyFont="1" applyBorder="1" applyAlignment="1">
      <alignment horizontal="center" vertical="center"/>
    </xf>
    <xf numFmtId="0" fontId="0" fillId="0" borderId="10" xfId="0" applyBorder="1" applyAlignment="1">
      <alignment horizontal="left" vertical="center" indent="1"/>
    </xf>
    <xf numFmtId="0" fontId="0" fillId="0" borderId="12" xfId="0" applyBorder="1" applyAlignment="1">
      <alignment/>
    </xf>
    <xf numFmtId="0" fontId="0" fillId="0" borderId="16" xfId="0" applyBorder="1" applyAlignment="1">
      <alignment vertical="center"/>
    </xf>
    <xf numFmtId="0" fontId="4" fillId="0" borderId="0" xfId="0" applyFont="1" applyBorder="1" applyAlignment="1">
      <alignment/>
    </xf>
    <xf numFmtId="0" fontId="10" fillId="0" borderId="18" xfId="0" applyFont="1" applyBorder="1" applyAlignment="1">
      <alignment horizontal="center"/>
    </xf>
    <xf numFmtId="0" fontId="10" fillId="0" borderId="17" xfId="0" applyFont="1" applyBorder="1" applyAlignment="1">
      <alignment horizontal="center"/>
    </xf>
    <xf numFmtId="49" fontId="4" fillId="0" borderId="11" xfId="0" applyNumberFormat="1" applyFont="1" applyFill="1" applyBorder="1" applyAlignment="1">
      <alignment vertical="top"/>
    </xf>
    <xf numFmtId="0" fontId="56" fillId="0" borderId="13" xfId="0" applyFont="1" applyBorder="1" applyAlignment="1">
      <alignment horizontal="center" vertical="top"/>
    </xf>
    <xf numFmtId="0" fontId="57" fillId="0" borderId="10" xfId="0" applyFont="1" applyBorder="1" applyAlignment="1">
      <alignment vertical="top"/>
    </xf>
    <xf numFmtId="188" fontId="9" fillId="0" borderId="12" xfId="57" applyNumberFormat="1" applyFont="1" applyFill="1" applyBorder="1" applyAlignment="1">
      <alignment/>
      <protection/>
    </xf>
    <xf numFmtId="190" fontId="56" fillId="0" borderId="10" xfId="0" applyNumberFormat="1" applyFont="1" applyBorder="1" applyAlignment="1">
      <alignment/>
    </xf>
    <xf numFmtId="2" fontId="56" fillId="0" borderId="10" xfId="0" applyNumberFormat="1" applyFont="1" applyBorder="1" applyAlignment="1">
      <alignment/>
    </xf>
    <xf numFmtId="2" fontId="57" fillId="0" borderId="10" xfId="0" applyNumberFormat="1" applyFont="1" applyBorder="1" applyAlignment="1">
      <alignment/>
    </xf>
    <xf numFmtId="0" fontId="56" fillId="0" borderId="10" xfId="0" applyFont="1" applyBorder="1" applyAlignment="1">
      <alignment horizontal="right"/>
    </xf>
    <xf numFmtId="1" fontId="57" fillId="0" borderId="10" xfId="0" applyNumberFormat="1" applyFont="1" applyBorder="1" applyAlignment="1">
      <alignment horizontal="right"/>
    </xf>
    <xf numFmtId="188" fontId="0" fillId="0" borderId="10" xfId="0" applyNumberFormat="1" applyBorder="1" applyAlignment="1">
      <alignment horizontal="right"/>
    </xf>
    <xf numFmtId="188" fontId="0" fillId="0" borderId="10" xfId="0" applyNumberFormat="1" applyBorder="1" applyAlignment="1">
      <alignment/>
    </xf>
    <xf numFmtId="1" fontId="4" fillId="0" borderId="10" xfId="0" applyNumberFormat="1" applyFont="1" applyFill="1" applyBorder="1" applyAlignment="1">
      <alignment horizontal="center"/>
    </xf>
    <xf numFmtId="49" fontId="8" fillId="0" borderId="10" xfId="0" applyNumberFormat="1" applyFont="1" applyFill="1" applyBorder="1" applyAlignment="1">
      <alignment vertical="top"/>
    </xf>
    <xf numFmtId="188" fontId="6" fillId="33" borderId="10" xfId="0" applyNumberFormat="1" applyFont="1" applyFill="1" applyBorder="1" applyAlignment="1">
      <alignment horizontal="center" vertical="center"/>
    </xf>
    <xf numFmtId="188" fontId="4" fillId="0" borderId="11" xfId="0" applyNumberFormat="1" applyFont="1" applyFill="1" applyBorder="1" applyAlignment="1">
      <alignment horizontal="center" vertical="center"/>
    </xf>
    <xf numFmtId="2" fontId="4" fillId="0" borderId="10" xfId="0" applyNumberFormat="1" applyFont="1" applyFill="1" applyBorder="1" applyAlignment="1">
      <alignment horizontal="center" wrapText="1"/>
    </xf>
    <xf numFmtId="49" fontId="8" fillId="0" borderId="12" xfId="0" applyNumberFormat="1" applyFont="1" applyFill="1" applyBorder="1" applyAlignment="1">
      <alignment vertical="top" wrapText="1"/>
    </xf>
    <xf numFmtId="49" fontId="8" fillId="0" borderId="16" xfId="0" applyNumberFormat="1" applyFont="1" applyFill="1" applyBorder="1" applyAlignment="1">
      <alignment vertical="top" wrapText="1"/>
    </xf>
    <xf numFmtId="49" fontId="8" fillId="0" borderId="15" xfId="0" applyNumberFormat="1" applyFont="1" applyFill="1" applyBorder="1" applyAlignment="1">
      <alignment vertical="top" wrapText="1"/>
    </xf>
    <xf numFmtId="189" fontId="8" fillId="0" borderId="0" xfId="0" applyNumberFormat="1" applyFont="1" applyBorder="1" applyAlignment="1">
      <alignment horizontal="center" vertical="top"/>
    </xf>
    <xf numFmtId="186" fontId="4" fillId="0" borderId="10" xfId="0" applyNumberFormat="1" applyFont="1" applyFill="1" applyBorder="1" applyAlignment="1">
      <alignment vertical="center" wrapText="1"/>
    </xf>
    <xf numFmtId="186" fontId="4" fillId="0" borderId="10" xfId="0" applyNumberFormat="1" applyFont="1" applyFill="1" applyBorder="1" applyAlignment="1">
      <alignment vertical="center"/>
    </xf>
    <xf numFmtId="188" fontId="9" fillId="34" borderId="12" xfId="0" applyNumberFormat="1" applyFont="1" applyFill="1" applyBorder="1" applyAlignment="1">
      <alignment horizontal="left" wrapText="1"/>
    </xf>
    <xf numFmtId="188" fontId="4" fillId="34" borderId="11" xfId="57" applyNumberFormat="1" applyFont="1" applyFill="1" applyBorder="1" applyAlignment="1">
      <alignment horizontal="center"/>
      <protection/>
    </xf>
    <xf numFmtId="188" fontId="34" fillId="0" borderId="0" xfId="0" applyNumberFormat="1" applyFont="1" applyAlignment="1">
      <alignment/>
    </xf>
    <xf numFmtId="188" fontId="4" fillId="34" borderId="0" xfId="0" applyNumberFormat="1" applyFont="1" applyFill="1" applyBorder="1" applyAlignment="1">
      <alignment horizontal="left"/>
    </xf>
    <xf numFmtId="188" fontId="6" fillId="34" borderId="0" xfId="0" applyNumberFormat="1" applyFont="1" applyFill="1" applyBorder="1" applyAlignment="1">
      <alignment horizontal="left"/>
    </xf>
    <xf numFmtId="188" fontId="6" fillId="34" borderId="10" xfId="0" applyNumberFormat="1" applyFont="1" applyFill="1" applyBorder="1" applyAlignment="1">
      <alignment horizontal="center" vertical="center"/>
    </xf>
    <xf numFmtId="186" fontId="6" fillId="34" borderId="10" xfId="0" applyNumberFormat="1" applyFont="1" applyFill="1" applyBorder="1" applyAlignment="1">
      <alignment horizontal="center" vertical="center"/>
    </xf>
    <xf numFmtId="49" fontId="6" fillId="34" borderId="10" xfId="0" applyNumberFormat="1" applyFont="1" applyFill="1" applyBorder="1" applyAlignment="1">
      <alignment horizontal="center" vertical="center"/>
    </xf>
    <xf numFmtId="189" fontId="9" fillId="34" borderId="10" xfId="0" applyNumberFormat="1" applyFont="1" applyFill="1" applyBorder="1" applyAlignment="1" quotePrefix="1">
      <alignment horizontal="center" vertical="center"/>
    </xf>
    <xf numFmtId="189" fontId="9" fillId="34" borderId="10" xfId="0" applyNumberFormat="1" applyFont="1" applyFill="1" applyBorder="1" applyAlignment="1" quotePrefix="1">
      <alignment horizontal="center"/>
    </xf>
    <xf numFmtId="186" fontId="4" fillId="34" borderId="10" xfId="0" applyNumberFormat="1" applyFont="1" applyFill="1" applyBorder="1" applyAlignment="1">
      <alignment horizontal="right"/>
    </xf>
    <xf numFmtId="186" fontId="4" fillId="34" borderId="10" xfId="0" applyNumberFormat="1" applyFont="1" applyFill="1" applyBorder="1" applyAlignment="1">
      <alignment horizontal="center"/>
    </xf>
    <xf numFmtId="2" fontId="4" fillId="34" borderId="10" xfId="0" applyNumberFormat="1" applyFont="1" applyFill="1" applyBorder="1" applyAlignment="1">
      <alignment/>
    </xf>
    <xf numFmtId="188" fontId="6" fillId="34" borderId="10" xfId="0" applyNumberFormat="1" applyFont="1" applyFill="1" applyBorder="1" applyAlignment="1">
      <alignment horizontal="right"/>
    </xf>
    <xf numFmtId="49" fontId="6" fillId="34" borderId="14" xfId="0" applyNumberFormat="1" applyFont="1" applyFill="1" applyBorder="1" applyAlignment="1">
      <alignment horizontal="center"/>
    </xf>
    <xf numFmtId="1" fontId="4" fillId="34" borderId="14" xfId="0" applyNumberFormat="1" applyFont="1" applyFill="1" applyBorder="1" applyAlignment="1">
      <alignment horizontal="center"/>
    </xf>
    <xf numFmtId="0" fontId="4" fillId="34" borderId="10" xfId="0" applyFont="1" applyFill="1" applyBorder="1" applyAlignment="1">
      <alignment/>
    </xf>
    <xf numFmtId="189" fontId="4" fillId="34" borderId="10" xfId="0" applyNumberFormat="1" applyFont="1" applyFill="1" applyBorder="1" applyAlignment="1">
      <alignment/>
    </xf>
    <xf numFmtId="188" fontId="4" fillId="34" borderId="10" xfId="0" applyNumberFormat="1" applyFont="1" applyFill="1" applyBorder="1" applyAlignment="1">
      <alignment horizontal="center" wrapText="1" readingOrder="1"/>
    </xf>
    <xf numFmtId="186" fontId="4" fillId="34" borderId="10" xfId="0" applyNumberFormat="1" applyFont="1" applyFill="1" applyBorder="1" applyAlignment="1">
      <alignment/>
    </xf>
    <xf numFmtId="188" fontId="4" fillId="34" borderId="14" xfId="0" applyNumberFormat="1" applyFont="1" applyFill="1" applyBorder="1" applyAlignment="1">
      <alignment horizontal="right"/>
    </xf>
    <xf numFmtId="188" fontId="4" fillId="34" borderId="14" xfId="0" applyNumberFormat="1" applyFont="1" applyFill="1" applyBorder="1" applyAlignment="1">
      <alignment horizontal="center"/>
    </xf>
    <xf numFmtId="1" fontId="4" fillId="34" borderId="14" xfId="0" applyNumberFormat="1" applyFont="1" applyFill="1" applyBorder="1" applyAlignment="1">
      <alignment/>
    </xf>
    <xf numFmtId="189" fontId="4" fillId="34" borderId="10" xfId="0" applyNumberFormat="1" applyFont="1" applyFill="1" applyBorder="1" applyAlignment="1" quotePrefix="1">
      <alignment horizontal="right"/>
    </xf>
    <xf numFmtId="189" fontId="9" fillId="34" borderId="10" xfId="0" applyNumberFormat="1" applyFont="1" applyFill="1" applyBorder="1" applyAlignment="1" quotePrefix="1">
      <alignment horizontal="right"/>
    </xf>
    <xf numFmtId="49" fontId="6" fillId="34" borderId="10" xfId="0" applyNumberFormat="1" applyFont="1" applyFill="1" applyBorder="1" applyAlignment="1">
      <alignment horizontal="center"/>
    </xf>
    <xf numFmtId="188" fontId="4" fillId="34" borderId="10" xfId="0" applyNumberFormat="1" applyFont="1" applyFill="1" applyBorder="1" applyAlignment="1">
      <alignment/>
    </xf>
    <xf numFmtId="49" fontId="8" fillId="34" borderId="10" xfId="57" applyNumberFormat="1" applyFont="1" applyFill="1" applyBorder="1" applyAlignment="1">
      <alignment horizontal="center" vertical="center"/>
      <protection/>
    </xf>
    <xf numFmtId="189" fontId="9" fillId="34" borderId="10" xfId="57" applyNumberFormat="1" applyFont="1" applyFill="1" applyBorder="1" applyAlignment="1" quotePrefix="1">
      <alignment/>
      <protection/>
    </xf>
    <xf numFmtId="188" fontId="9" fillId="34" borderId="10" xfId="57" applyNumberFormat="1" applyFont="1" applyFill="1" applyBorder="1" applyAlignment="1" quotePrefix="1">
      <alignment/>
      <protection/>
    </xf>
    <xf numFmtId="186" fontId="9" fillId="34" borderId="10" xfId="57" applyNumberFormat="1" applyFont="1" applyFill="1" applyBorder="1" applyAlignment="1" quotePrefix="1">
      <alignment/>
      <protection/>
    </xf>
    <xf numFmtId="186" fontId="9" fillId="34" borderId="10" xfId="57" applyNumberFormat="1" applyFont="1" applyFill="1" applyBorder="1" applyAlignment="1">
      <alignment/>
      <protection/>
    </xf>
    <xf numFmtId="188" fontId="9" fillId="34" borderId="10" xfId="57" applyNumberFormat="1" applyFont="1" applyFill="1" applyBorder="1" applyAlignment="1">
      <alignment horizontal="right"/>
      <protection/>
    </xf>
    <xf numFmtId="189" fontId="9" fillId="34" borderId="10" xfId="57" applyNumberFormat="1" applyFont="1" applyFill="1" applyBorder="1" applyAlignment="1">
      <alignment horizontal="right"/>
      <protection/>
    </xf>
    <xf numFmtId="188" fontId="9" fillId="34" borderId="10" xfId="57" applyNumberFormat="1" applyFont="1" applyFill="1" applyBorder="1" applyAlignment="1">
      <alignment/>
      <protection/>
    </xf>
    <xf numFmtId="1" fontId="9" fillId="34" borderId="10" xfId="57" applyNumberFormat="1" applyFont="1" applyFill="1" applyBorder="1" applyAlignment="1">
      <alignment/>
      <protection/>
    </xf>
    <xf numFmtId="49" fontId="8" fillId="34" borderId="11" xfId="57" applyNumberFormat="1" applyFont="1" applyFill="1" applyBorder="1" applyAlignment="1">
      <alignment horizontal="center" vertical="center"/>
      <protection/>
    </xf>
    <xf numFmtId="49" fontId="8" fillId="34" borderId="14" xfId="57" applyNumberFormat="1" applyFont="1" applyFill="1" applyBorder="1" applyAlignment="1">
      <alignment horizontal="center" vertical="center"/>
      <protection/>
    </xf>
    <xf numFmtId="49" fontId="8" fillId="34" borderId="14" xfId="57" applyNumberFormat="1" applyFont="1" applyFill="1" applyBorder="1" applyAlignment="1">
      <alignment horizontal="center" vertical="top" wrapText="1"/>
      <protection/>
    </xf>
    <xf numFmtId="1" fontId="9" fillId="34" borderId="10" xfId="57" applyNumberFormat="1" applyFont="1" applyFill="1" applyBorder="1" applyAlignment="1" quotePrefix="1">
      <alignment horizontal="center"/>
      <protection/>
    </xf>
    <xf numFmtId="189" fontId="9" fillId="34" borderId="14" xfId="57" applyNumberFormat="1" applyFont="1" applyFill="1" applyBorder="1" applyAlignment="1">
      <alignment horizontal="right"/>
      <protection/>
    </xf>
    <xf numFmtId="188" fontId="9" fillId="34" borderId="14" xfId="57" applyNumberFormat="1" applyFont="1" applyFill="1" applyBorder="1" applyAlignment="1">
      <alignment/>
      <protection/>
    </xf>
    <xf numFmtId="1" fontId="9" fillId="34" borderId="14" xfId="57" applyNumberFormat="1" applyFont="1" applyFill="1" applyBorder="1" applyAlignment="1">
      <alignment/>
      <protection/>
    </xf>
    <xf numFmtId="49" fontId="8" fillId="34" borderId="13" xfId="57" applyNumberFormat="1" applyFont="1" applyFill="1" applyBorder="1" applyAlignment="1">
      <alignment horizontal="center" vertical="center"/>
      <protection/>
    </xf>
    <xf numFmtId="49" fontId="8" fillId="34" borderId="13" xfId="57" applyNumberFormat="1" applyFont="1" applyFill="1" applyBorder="1" applyAlignment="1">
      <alignment horizontal="center" wrapText="1"/>
      <protection/>
    </xf>
    <xf numFmtId="189" fontId="4" fillId="34" borderId="13" xfId="0" applyNumberFormat="1" applyFont="1" applyFill="1" applyBorder="1" applyAlignment="1">
      <alignment horizontal="center"/>
    </xf>
    <xf numFmtId="188" fontId="4" fillId="34" borderId="13" xfId="0" applyNumberFormat="1" applyFont="1" applyFill="1" applyBorder="1" applyAlignment="1">
      <alignment horizontal="center"/>
    </xf>
    <xf numFmtId="1" fontId="4" fillId="34" borderId="13" xfId="0" applyNumberFormat="1" applyFont="1" applyFill="1" applyBorder="1" applyAlignment="1">
      <alignment horizontal="center"/>
    </xf>
    <xf numFmtId="188" fontId="8" fillId="34" borderId="12" xfId="0" applyNumberFormat="1" applyFont="1" applyFill="1" applyBorder="1" applyAlignment="1">
      <alignment horizontal="left" wrapText="1"/>
    </xf>
    <xf numFmtId="188" fontId="8" fillId="34" borderId="16" xfId="0" applyNumberFormat="1" applyFont="1" applyFill="1" applyBorder="1" applyAlignment="1">
      <alignment horizontal="left" wrapText="1"/>
    </xf>
    <xf numFmtId="188" fontId="8" fillId="34" borderId="15" xfId="0" applyNumberFormat="1" applyFont="1" applyFill="1" applyBorder="1" applyAlignment="1">
      <alignment horizontal="left" wrapText="1"/>
    </xf>
    <xf numFmtId="189" fontId="4" fillId="34" borderId="10" xfId="0" applyNumberFormat="1" applyFont="1" applyFill="1" applyBorder="1" applyAlignment="1">
      <alignment horizontal="center"/>
    </xf>
    <xf numFmtId="186" fontId="4" fillId="34" borderId="10" xfId="0" applyNumberFormat="1" applyFont="1" applyFill="1" applyBorder="1" applyAlignment="1">
      <alignment horizontal="center" wrapText="1" readingOrder="1"/>
    </xf>
    <xf numFmtId="2" fontId="4" fillId="34" borderId="10" xfId="0" applyNumberFormat="1" applyFont="1" applyFill="1" applyBorder="1" applyAlignment="1">
      <alignment horizontal="right"/>
    </xf>
    <xf numFmtId="49" fontId="6" fillId="34" borderId="10" xfId="0" applyNumberFormat="1" applyFont="1" applyFill="1" applyBorder="1" applyAlignment="1">
      <alignment horizontal="center" vertical="center" wrapText="1"/>
    </xf>
    <xf numFmtId="49" fontId="6" fillId="34" borderId="13" xfId="0" applyNumberFormat="1" applyFont="1" applyFill="1" applyBorder="1" applyAlignment="1">
      <alignment horizontal="center" vertical="top" wrapText="1"/>
    </xf>
    <xf numFmtId="2" fontId="4" fillId="34" borderId="10" xfId="0" applyNumberFormat="1" applyFont="1" applyFill="1" applyBorder="1" applyAlignment="1">
      <alignment horizontal="center"/>
    </xf>
    <xf numFmtId="1" fontId="4" fillId="34" borderId="10" xfId="0" applyNumberFormat="1" applyFont="1" applyFill="1" applyBorder="1" applyAlignment="1">
      <alignment horizontal="right"/>
    </xf>
    <xf numFmtId="189" fontId="4" fillId="34" borderId="10" xfId="0" applyNumberFormat="1" applyFont="1" applyFill="1" applyBorder="1" applyAlignment="1">
      <alignment horizontal="center" wrapText="1" readingOrder="1"/>
    </xf>
    <xf numFmtId="0" fontId="4" fillId="34" borderId="10" xfId="0" applyFont="1" applyFill="1" applyBorder="1" applyAlignment="1">
      <alignment/>
    </xf>
    <xf numFmtId="178" fontId="4" fillId="34" borderId="10" xfId="0" applyNumberFormat="1" applyFont="1" applyFill="1" applyBorder="1" applyAlignment="1">
      <alignment/>
    </xf>
    <xf numFmtId="189" fontId="4" fillId="34" borderId="10" xfId="0" applyNumberFormat="1" applyFont="1" applyFill="1" applyBorder="1" applyAlignment="1" quotePrefix="1">
      <alignment horizontal="center" vertical="center"/>
    </xf>
    <xf numFmtId="0" fontId="4" fillId="34" borderId="10" xfId="0" applyFont="1" applyFill="1" applyBorder="1" applyAlignment="1">
      <alignment horizontal="center" vertical="center"/>
    </xf>
    <xf numFmtId="49" fontId="6" fillId="34" borderId="13" xfId="0" applyNumberFormat="1" applyFont="1" applyFill="1" applyBorder="1" applyAlignment="1">
      <alignment horizontal="center" vertical="center"/>
    </xf>
    <xf numFmtId="49" fontId="6" fillId="34" borderId="13" xfId="0" applyNumberFormat="1" applyFont="1" applyFill="1" applyBorder="1" applyAlignment="1">
      <alignment horizontal="center"/>
    </xf>
    <xf numFmtId="188" fontId="4" fillId="34" borderId="10" xfId="0" applyNumberFormat="1" applyFont="1" applyFill="1" applyBorder="1" applyAlignment="1">
      <alignment vertical="center"/>
    </xf>
    <xf numFmtId="188" fontId="4" fillId="34" borderId="11" xfId="0" applyNumberFormat="1" applyFont="1" applyFill="1" applyBorder="1" applyAlignment="1">
      <alignment/>
    </xf>
    <xf numFmtId="188" fontId="4" fillId="34" borderId="14" xfId="0" applyNumberFormat="1" applyFont="1" applyFill="1" applyBorder="1" applyAlignment="1">
      <alignment/>
    </xf>
    <xf numFmtId="191" fontId="4" fillId="34" borderId="10" xfId="0" applyNumberFormat="1" applyFont="1" applyFill="1" applyBorder="1" applyAlignment="1">
      <alignment horizontal="right" wrapText="1" readingOrder="1"/>
    </xf>
    <xf numFmtId="189" fontId="4" fillId="34" borderId="10" xfId="0" applyNumberFormat="1" applyFont="1" applyFill="1" applyBorder="1" applyAlignment="1">
      <alignment horizontal="right" readingOrder="1"/>
    </xf>
    <xf numFmtId="190" fontId="4" fillId="34" borderId="10" xfId="0" applyNumberFormat="1" applyFont="1" applyFill="1" applyBorder="1" applyAlignment="1">
      <alignment horizontal="center" wrapText="1" readingOrder="1"/>
    </xf>
    <xf numFmtId="49" fontId="6" fillId="34" borderId="14" xfId="0" applyNumberFormat="1" applyFont="1" applyFill="1" applyBorder="1" applyAlignment="1">
      <alignment horizontal="center" vertical="top" wrapText="1"/>
    </xf>
    <xf numFmtId="189" fontId="4" fillId="34" borderId="16" xfId="0" applyNumberFormat="1" applyFont="1" applyFill="1" applyBorder="1" applyAlignment="1">
      <alignment horizontal="center" wrapText="1" readingOrder="1"/>
    </xf>
    <xf numFmtId="190" fontId="4" fillId="34" borderId="16" xfId="0" applyNumberFormat="1" applyFont="1" applyFill="1" applyBorder="1" applyAlignment="1">
      <alignment horizontal="center" wrapText="1" readingOrder="1"/>
    </xf>
    <xf numFmtId="188" fontId="4" fillId="34" borderId="16" xfId="0" applyNumberFormat="1" applyFont="1" applyFill="1" applyBorder="1" applyAlignment="1">
      <alignment horizontal="center" wrapText="1" readingOrder="1"/>
    </xf>
    <xf numFmtId="191" fontId="4" fillId="34" borderId="15" xfId="0" applyNumberFormat="1" applyFont="1" applyFill="1" applyBorder="1" applyAlignment="1">
      <alignment horizontal="right" wrapText="1" readingOrder="1"/>
    </xf>
    <xf numFmtId="191" fontId="4" fillId="34" borderId="10" xfId="0" applyNumberFormat="1" applyFont="1" applyFill="1" applyBorder="1" applyAlignment="1">
      <alignment horizontal="center" wrapText="1" readingOrder="1"/>
    </xf>
    <xf numFmtId="49" fontId="6" fillId="34" borderId="10" xfId="0" applyNumberFormat="1" applyFont="1" applyFill="1" applyBorder="1" applyAlignment="1">
      <alignment horizontal="center" wrapText="1"/>
    </xf>
    <xf numFmtId="189" fontId="8" fillId="34" borderId="10" xfId="0" applyNumberFormat="1" applyFont="1" applyFill="1" applyBorder="1" applyAlignment="1">
      <alignment vertical="top" wrapText="1"/>
    </xf>
    <xf numFmtId="189" fontId="4" fillId="0" borderId="0" xfId="0" applyNumberFormat="1" applyFont="1" applyFill="1" applyBorder="1" applyAlignment="1">
      <alignment horizontal="center" wrapText="1" readingOrder="1"/>
    </xf>
    <xf numFmtId="188" fontId="4" fillId="0" borderId="0" xfId="0" applyNumberFormat="1" applyFont="1" applyFill="1" applyBorder="1" applyAlignment="1">
      <alignment horizontal="center" wrapText="1" readingOrder="1"/>
    </xf>
    <xf numFmtId="191" fontId="4" fillId="0" borderId="0" xfId="0" applyNumberFormat="1" applyFont="1" applyFill="1" applyBorder="1" applyAlignment="1">
      <alignment horizontal="center" wrapText="1" readingOrder="1"/>
    </xf>
    <xf numFmtId="189" fontId="4" fillId="0" borderId="0" xfId="0" applyNumberFormat="1" applyFont="1" applyFill="1" applyBorder="1" applyAlignment="1">
      <alignment horizontal="center"/>
    </xf>
    <xf numFmtId="49" fontId="6" fillId="34" borderId="14" xfId="0" applyNumberFormat="1" applyFont="1" applyFill="1" applyBorder="1" applyAlignment="1">
      <alignment horizontal="center" vertical="top"/>
    </xf>
    <xf numFmtId="191" fontId="4" fillId="34" borderId="15" xfId="0" applyNumberFormat="1" applyFont="1" applyFill="1" applyBorder="1" applyAlignment="1">
      <alignment horizontal="center" wrapText="1" readingOrder="1"/>
    </xf>
    <xf numFmtId="189" fontId="4" fillId="34" borderId="14" xfId="0" applyNumberFormat="1" applyFont="1" applyFill="1" applyBorder="1" applyAlignment="1">
      <alignment horizontal="center"/>
    </xf>
    <xf numFmtId="49" fontId="6" fillId="34" borderId="13" xfId="0" applyNumberFormat="1" applyFont="1" applyFill="1" applyBorder="1" applyAlignment="1">
      <alignment vertical="center"/>
    </xf>
    <xf numFmtId="49" fontId="6" fillId="34" borderId="13" xfId="57" applyNumberFormat="1" applyFont="1" applyFill="1" applyBorder="1" applyAlignment="1">
      <alignment horizontal="center" wrapText="1"/>
      <protection/>
    </xf>
    <xf numFmtId="49" fontId="6" fillId="34" borderId="14" xfId="0" applyNumberFormat="1" applyFont="1" applyFill="1" applyBorder="1" applyAlignment="1">
      <alignment horizontal="center" vertical="center"/>
    </xf>
    <xf numFmtId="49" fontId="6" fillId="34" borderId="14" xfId="57" applyNumberFormat="1" applyFont="1" applyFill="1" applyBorder="1" applyAlignment="1">
      <alignment horizontal="center" wrapText="1"/>
      <protection/>
    </xf>
    <xf numFmtId="189" fontId="6" fillId="34" borderId="14" xfId="0" applyNumberFormat="1" applyFont="1" applyFill="1" applyBorder="1" applyAlignment="1">
      <alignment/>
    </xf>
    <xf numFmtId="49" fontId="6" fillId="34" borderId="11" xfId="57" applyNumberFormat="1" applyFont="1" applyFill="1" applyBorder="1" applyAlignment="1">
      <alignment vertical="top" wrapText="1"/>
      <protection/>
    </xf>
    <xf numFmtId="188" fontId="8" fillId="34" borderId="12" xfId="57" applyNumberFormat="1" applyFont="1" applyFill="1" applyBorder="1" applyAlignment="1">
      <alignment vertical="center" wrapText="1"/>
      <protection/>
    </xf>
    <xf numFmtId="49" fontId="6" fillId="34" borderId="14" xfId="57" applyNumberFormat="1" applyFont="1" applyFill="1" applyBorder="1" applyAlignment="1">
      <alignment vertical="top" wrapText="1"/>
      <protection/>
    </xf>
    <xf numFmtId="189" fontId="6" fillId="34" borderId="13" xfId="0" applyNumberFormat="1" applyFont="1" applyFill="1" applyBorder="1" applyAlignment="1">
      <alignment/>
    </xf>
    <xf numFmtId="49" fontId="6" fillId="34" borderId="13" xfId="57" applyNumberFormat="1" applyFont="1" applyFill="1" applyBorder="1" applyAlignment="1">
      <alignment vertical="top" wrapText="1"/>
      <protection/>
    </xf>
    <xf numFmtId="0" fontId="4" fillId="34" borderId="14" xfId="0" applyFont="1" applyFill="1" applyBorder="1" applyAlignment="1">
      <alignment horizontal="center"/>
    </xf>
    <xf numFmtId="188" fontId="4" fillId="34" borderId="10" xfId="0" applyNumberFormat="1" applyFont="1" applyFill="1" applyBorder="1" applyAlignment="1">
      <alignment/>
    </xf>
    <xf numFmtId="189" fontId="4" fillId="34" borderId="14" xfId="0" applyNumberFormat="1" applyFont="1" applyFill="1" applyBorder="1" applyAlignment="1">
      <alignment horizontal="center"/>
    </xf>
    <xf numFmtId="1" fontId="4" fillId="34" borderId="14" xfId="0" applyNumberFormat="1" applyFont="1" applyFill="1" applyBorder="1" applyAlignment="1">
      <alignment horizontal="center"/>
    </xf>
    <xf numFmtId="188" fontId="4" fillId="34" borderId="14" xfId="0" applyNumberFormat="1" applyFont="1" applyFill="1" applyBorder="1" applyAlignment="1">
      <alignment horizontal="center"/>
    </xf>
    <xf numFmtId="49" fontId="6" fillId="34" borderId="14" xfId="0" applyNumberFormat="1" applyFont="1" applyFill="1" applyBorder="1" applyAlignment="1">
      <alignment horizontal="center" vertical="top"/>
    </xf>
    <xf numFmtId="49" fontId="6" fillId="34" borderId="14" xfId="0" applyNumberFormat="1" applyFont="1" applyFill="1" applyBorder="1" applyAlignment="1">
      <alignment horizontal="center" vertical="top" wrapText="1"/>
    </xf>
    <xf numFmtId="188" fontId="4" fillId="34" borderId="0" xfId="0" applyNumberFormat="1" applyFont="1" applyFill="1" applyBorder="1" applyAlignment="1">
      <alignment horizontal="left"/>
    </xf>
    <xf numFmtId="1" fontId="4" fillId="34" borderId="11" xfId="0" applyNumberFormat="1" applyFont="1" applyFill="1" applyBorder="1" applyAlignment="1">
      <alignment/>
    </xf>
    <xf numFmtId="1" fontId="4" fillId="34" borderId="14" xfId="0" applyNumberFormat="1" applyFont="1" applyFill="1" applyBorder="1" applyAlignment="1">
      <alignment/>
    </xf>
    <xf numFmtId="1" fontId="4" fillId="34" borderId="13" xfId="0" applyNumberFormat="1" applyFont="1" applyFill="1" applyBorder="1" applyAlignment="1">
      <alignment/>
    </xf>
    <xf numFmtId="49" fontId="6" fillId="34" borderId="11" xfId="0" applyNumberFormat="1" applyFont="1" applyFill="1" applyBorder="1" applyAlignment="1">
      <alignment vertical="top" wrapText="1"/>
    </xf>
    <xf numFmtId="49" fontId="6" fillId="34" borderId="11" xfId="0" applyNumberFormat="1" applyFont="1" applyFill="1" applyBorder="1" applyAlignment="1">
      <alignment vertical="center"/>
    </xf>
    <xf numFmtId="49" fontId="6" fillId="34" borderId="14" xfId="0" applyNumberFormat="1" applyFont="1" applyFill="1" applyBorder="1" applyAlignment="1">
      <alignment vertical="top" wrapText="1"/>
    </xf>
    <xf numFmtId="49" fontId="6" fillId="34" borderId="14" xfId="0" applyNumberFormat="1" applyFont="1" applyFill="1" applyBorder="1" applyAlignment="1">
      <alignment vertical="center"/>
    </xf>
    <xf numFmtId="49" fontId="6" fillId="34" borderId="13" xfId="0" applyNumberFormat="1" applyFont="1" applyFill="1" applyBorder="1" applyAlignment="1">
      <alignment vertical="top" wrapText="1"/>
    </xf>
    <xf numFmtId="188" fontId="4" fillId="34" borderId="13" xfId="0" applyNumberFormat="1" applyFont="1" applyFill="1" applyBorder="1" applyAlignment="1">
      <alignment/>
    </xf>
    <xf numFmtId="188" fontId="8" fillId="34" borderId="12" xfId="57" applyNumberFormat="1" applyFont="1" applyFill="1" applyBorder="1" applyAlignment="1">
      <alignment horizontal="left" vertical="center" wrapText="1"/>
      <protection/>
    </xf>
    <xf numFmtId="188" fontId="9" fillId="34" borderId="12" xfId="57" applyNumberFormat="1" applyFont="1" applyFill="1" applyBorder="1" applyAlignment="1">
      <alignment horizontal="justify" vertical="top" wrapText="1" readingOrder="1"/>
      <protection/>
    </xf>
    <xf numFmtId="0" fontId="4" fillId="34" borderId="12" xfId="0" applyFont="1" applyFill="1" applyBorder="1" applyAlignment="1">
      <alignment horizontal="left" wrapText="1"/>
    </xf>
    <xf numFmtId="188" fontId="9" fillId="34" borderId="12" xfId="0" applyNumberFormat="1" applyFont="1" applyFill="1" applyBorder="1" applyAlignment="1">
      <alignment horizontal="left" wrapText="1"/>
    </xf>
    <xf numFmtId="0" fontId="9" fillId="34" borderId="12" xfId="0" applyFont="1" applyFill="1" applyBorder="1" applyAlignment="1">
      <alignment horizontal="left" vertical="top" wrapText="1"/>
    </xf>
    <xf numFmtId="188" fontId="8" fillId="34" borderId="12" xfId="0" applyNumberFormat="1" applyFont="1" applyFill="1" applyBorder="1" applyAlignment="1">
      <alignment horizontal="left" wrapText="1"/>
    </xf>
    <xf numFmtId="188" fontId="8" fillId="34" borderId="12" xfId="57" applyNumberFormat="1" applyFont="1" applyFill="1" applyBorder="1" applyAlignment="1">
      <alignment horizontal="left" wrapText="1" readingOrder="1"/>
      <protection/>
    </xf>
    <xf numFmtId="188" fontId="8" fillId="34" borderId="10" xfId="0" applyNumberFormat="1" applyFont="1" applyFill="1" applyBorder="1" applyAlignment="1">
      <alignment horizontal="left" vertical="top" wrapText="1"/>
    </xf>
    <xf numFmtId="188" fontId="9" fillId="34" borderId="10" xfId="0" applyNumberFormat="1" applyFont="1" applyFill="1" applyBorder="1" applyAlignment="1">
      <alignment horizontal="left" vertical="top" wrapText="1"/>
    </xf>
    <xf numFmtId="188" fontId="9" fillId="34" borderId="12" xfId="0" applyNumberFormat="1" applyFont="1" applyFill="1" applyBorder="1" applyAlignment="1">
      <alignment horizontal="left" vertical="top" wrapText="1" readingOrder="1"/>
    </xf>
    <xf numFmtId="188" fontId="9" fillId="34" borderId="12" xfId="0" applyNumberFormat="1" applyFont="1" applyFill="1" applyBorder="1" applyAlignment="1">
      <alignment horizontal="left" vertical="top" wrapText="1"/>
    </xf>
    <xf numFmtId="0" fontId="8" fillId="34" borderId="12" xfId="0" applyFont="1" applyFill="1" applyBorder="1" applyAlignment="1">
      <alignment horizontal="left" vertical="top" wrapText="1"/>
    </xf>
    <xf numFmtId="188" fontId="8" fillId="34" borderId="12" xfId="0" applyNumberFormat="1" applyFont="1" applyFill="1" applyBorder="1" applyAlignment="1">
      <alignment horizontal="left" vertical="top" wrapText="1"/>
    </xf>
    <xf numFmtId="188" fontId="9" fillId="34" borderId="12" xfId="0" applyNumberFormat="1" applyFont="1" applyFill="1" applyBorder="1" applyAlignment="1">
      <alignment horizontal="justify" vertical="top" wrapText="1" readingOrder="1"/>
    </xf>
    <xf numFmtId="188" fontId="4" fillId="34" borderId="12" xfId="0" applyNumberFormat="1" applyFont="1" applyFill="1" applyBorder="1" applyAlignment="1">
      <alignment horizontal="left" vertical="center"/>
    </xf>
    <xf numFmtId="188" fontId="4" fillId="34" borderId="12" xfId="0" applyNumberFormat="1" applyFont="1" applyFill="1" applyBorder="1" applyAlignment="1">
      <alignment horizontal="left"/>
    </xf>
    <xf numFmtId="188" fontId="9" fillId="34" borderId="10" xfId="0" applyNumberFormat="1" applyFont="1" applyFill="1" applyBorder="1" applyAlignment="1">
      <alignment horizontal="justify" vertical="top" wrapText="1"/>
    </xf>
    <xf numFmtId="0" fontId="12" fillId="34" borderId="12" xfId="0" applyFont="1" applyFill="1" applyBorder="1" applyAlignment="1">
      <alignment horizontal="left" vertical="top" wrapText="1"/>
    </xf>
    <xf numFmtId="188" fontId="4" fillId="34" borderId="10" xfId="0" applyNumberFormat="1" applyFont="1" applyFill="1" applyBorder="1" applyAlignment="1">
      <alignment horizontal="left" vertical="center" wrapText="1" readingOrder="1"/>
    </xf>
    <xf numFmtId="188" fontId="8" fillId="34" borderId="10" xfId="0" applyNumberFormat="1" applyFont="1" applyFill="1" applyBorder="1" applyAlignment="1">
      <alignment horizontal="left" vertical="center" wrapText="1"/>
    </xf>
    <xf numFmtId="0" fontId="4" fillId="34" borderId="10" xfId="0" applyFont="1" applyFill="1" applyBorder="1" applyAlignment="1">
      <alignment horizontal="left" wrapText="1"/>
    </xf>
    <xf numFmtId="0" fontId="8" fillId="34" borderId="19" xfId="0" applyFont="1" applyFill="1" applyBorder="1" applyAlignment="1">
      <alignment horizontal="left" vertical="top" wrapText="1"/>
    </xf>
    <xf numFmtId="188" fontId="9" fillId="34" borderId="12" xfId="0" applyNumberFormat="1" applyFont="1" applyFill="1" applyBorder="1" applyAlignment="1">
      <alignment horizontal="justify" vertical="top" wrapText="1"/>
    </xf>
    <xf numFmtId="188" fontId="8" fillId="34" borderId="12" xfId="0" applyNumberFormat="1" applyFont="1" applyFill="1" applyBorder="1" applyAlignment="1">
      <alignment horizontal="left" vertical="center" wrapText="1"/>
    </xf>
    <xf numFmtId="188" fontId="8" fillId="0" borderId="12" xfId="0" applyNumberFormat="1" applyFont="1" applyFill="1" applyBorder="1" applyAlignment="1">
      <alignment horizontal="left" vertical="top" wrapText="1"/>
    </xf>
    <xf numFmtId="188" fontId="9" fillId="0" borderId="10" xfId="0" applyNumberFormat="1" applyFont="1" applyFill="1" applyBorder="1" applyAlignment="1">
      <alignment horizontal="justify" vertical="top" wrapText="1"/>
    </xf>
    <xf numFmtId="188" fontId="9" fillId="0" borderId="12" xfId="0" applyNumberFormat="1" applyFont="1" applyFill="1" applyBorder="1" applyAlignment="1">
      <alignment horizontal="left" vertical="top" wrapText="1"/>
    </xf>
    <xf numFmtId="49" fontId="6" fillId="34" borderId="12" xfId="57" applyNumberFormat="1" applyFont="1" applyFill="1" applyBorder="1" applyAlignment="1">
      <alignment horizontal="center" vertical="top"/>
      <protection/>
    </xf>
    <xf numFmtId="188" fontId="9" fillId="0" borderId="10" xfId="0" applyNumberFormat="1" applyFont="1" applyFill="1" applyBorder="1" applyAlignment="1">
      <alignment horizontal="justify" vertical="top"/>
    </xf>
    <xf numFmtId="0" fontId="9" fillId="0" borderId="12" xfId="57" applyFont="1" applyFill="1" applyBorder="1" applyAlignment="1">
      <alignment horizontal="center" vertical="top"/>
      <protection/>
    </xf>
    <xf numFmtId="188" fontId="8" fillId="0" borderId="12" xfId="0" applyNumberFormat="1" applyFont="1" applyFill="1" applyBorder="1" applyAlignment="1">
      <alignment horizontal="left" vertical="center" wrapText="1"/>
    </xf>
    <xf numFmtId="188" fontId="8" fillId="0" borderId="12" xfId="0" applyNumberFormat="1" applyFont="1" applyFill="1" applyBorder="1" applyAlignment="1">
      <alignment horizontal="left" wrapText="1"/>
    </xf>
    <xf numFmtId="188" fontId="8" fillId="0" borderId="12" xfId="0" applyNumberFormat="1" applyFont="1" applyFill="1" applyBorder="1" applyAlignment="1">
      <alignment horizontal="left" vertical="center"/>
    </xf>
    <xf numFmtId="188" fontId="9" fillId="0" borderId="12" xfId="0" applyNumberFormat="1" applyFont="1" applyFill="1" applyBorder="1" applyAlignment="1">
      <alignment horizontal="justify" vertical="top" wrapText="1"/>
    </xf>
    <xf numFmtId="188" fontId="9" fillId="34" borderId="10" xfId="0" applyNumberFormat="1" applyFont="1" applyFill="1" applyBorder="1" applyAlignment="1">
      <alignment horizontal="left" wrapText="1"/>
    </xf>
    <xf numFmtId="188" fontId="9" fillId="0" borderId="10" xfId="0" applyNumberFormat="1" applyFont="1" applyFill="1" applyBorder="1" applyAlignment="1">
      <alignment horizontal="left" vertical="center" wrapText="1"/>
    </xf>
    <xf numFmtId="188" fontId="8" fillId="0" borderId="10" xfId="0" applyNumberFormat="1" applyFont="1" applyFill="1" applyBorder="1" applyAlignment="1">
      <alignment horizontal="left" vertical="top" wrapText="1"/>
    </xf>
    <xf numFmtId="188" fontId="8" fillId="0" borderId="10" xfId="0" applyNumberFormat="1" applyFont="1" applyFill="1" applyBorder="1" applyAlignment="1">
      <alignment horizontal="left" vertical="center" wrapText="1"/>
    </xf>
    <xf numFmtId="0" fontId="8" fillId="34" borderId="12" xfId="0" applyFont="1" applyFill="1" applyBorder="1" applyAlignment="1">
      <alignment horizontal="left" vertical="center" wrapText="1"/>
    </xf>
    <xf numFmtId="186" fontId="4" fillId="0" borderId="12" xfId="0" applyNumberFormat="1" applyFont="1" applyFill="1" applyBorder="1" applyAlignment="1">
      <alignment horizontal="justify" vertical="top" wrapText="1" readingOrder="1"/>
    </xf>
    <xf numFmtId="186" fontId="6" fillId="0" borderId="12" xfId="0" applyNumberFormat="1" applyFont="1" applyFill="1" applyBorder="1" applyAlignment="1">
      <alignment horizontal="left" vertical="center" wrapText="1" readingOrder="1"/>
    </xf>
    <xf numFmtId="186" fontId="4" fillId="0" borderId="12" xfId="0" applyNumberFormat="1" applyFont="1" applyFill="1" applyBorder="1" applyAlignment="1">
      <alignment horizontal="left" vertical="top" wrapText="1" readingOrder="1"/>
    </xf>
    <xf numFmtId="188" fontId="9" fillId="0" borderId="10" xfId="0" applyNumberFormat="1" applyFont="1" applyFill="1" applyBorder="1" applyAlignment="1">
      <alignment horizontal="left" vertical="center" wrapText="1" readingOrder="1"/>
    </xf>
    <xf numFmtId="188" fontId="2" fillId="34" borderId="12" xfId="0" applyNumberFormat="1" applyFont="1" applyFill="1" applyBorder="1" applyAlignment="1">
      <alignment horizontal="center"/>
    </xf>
    <xf numFmtId="188" fontId="58" fillId="0" borderId="12" xfId="0" applyNumberFormat="1" applyFont="1" applyFill="1" applyBorder="1" applyAlignment="1">
      <alignment horizontal="left" vertical="top" wrapText="1"/>
    </xf>
    <xf numFmtId="188" fontId="9" fillId="0" borderId="20" xfId="57" applyNumberFormat="1" applyFont="1" applyFill="1" applyBorder="1" applyAlignment="1">
      <alignment horizontal="left" vertical="top" wrapText="1"/>
      <protection/>
    </xf>
    <xf numFmtId="188" fontId="4" fillId="34" borderId="13" xfId="0" applyNumberFormat="1" applyFont="1" applyFill="1" applyBorder="1" applyAlignment="1">
      <alignment horizontal="center"/>
    </xf>
    <xf numFmtId="188" fontId="4" fillId="0" borderId="12" xfId="0" applyNumberFormat="1" applyFont="1" applyBorder="1" applyAlignment="1">
      <alignment horizontal="left" vertical="center" indent="1"/>
    </xf>
    <xf numFmtId="188" fontId="4" fillId="0" borderId="16" xfId="0" applyNumberFormat="1" applyFont="1" applyBorder="1" applyAlignment="1">
      <alignment horizontal="left" vertical="center" indent="1"/>
    </xf>
    <xf numFmtId="188" fontId="4" fillId="0" borderId="15" xfId="0" applyNumberFormat="1" applyFont="1" applyBorder="1" applyAlignment="1">
      <alignment horizontal="left" vertical="center" indent="1"/>
    </xf>
    <xf numFmtId="0" fontId="59" fillId="0" borderId="0" xfId="0" applyFont="1" applyBorder="1" applyAlignment="1">
      <alignment horizontal="center" vertical="center" wrapText="1"/>
    </xf>
    <xf numFmtId="188" fontId="2"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0" fontId="2" fillId="0" borderId="10" xfId="0" applyFont="1" applyBorder="1" applyAlignment="1">
      <alignment horizontal="center"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6" fillId="0" borderId="10" xfId="0" applyFont="1" applyBorder="1" applyAlignment="1">
      <alignment horizontal="center" vertical="center"/>
    </xf>
    <xf numFmtId="0" fontId="7" fillId="0" borderId="0" xfId="0" applyFont="1" applyBorder="1" applyAlignment="1">
      <alignment horizontal="center"/>
    </xf>
    <xf numFmtId="0" fontId="7" fillId="0" borderId="0" xfId="0" applyFont="1" applyBorder="1" applyAlignment="1">
      <alignment horizontal="center" vertical="center"/>
    </xf>
    <xf numFmtId="0" fontId="13" fillId="0" borderId="0" xfId="0" applyFont="1" applyBorder="1" applyAlignment="1">
      <alignment horizontal="center" vertical="top"/>
    </xf>
    <xf numFmtId="0" fontId="4" fillId="0" borderId="12" xfId="0" applyFont="1" applyBorder="1" applyAlignment="1">
      <alignment horizontal="left" vertical="center" indent="1"/>
    </xf>
    <xf numFmtId="0" fontId="0" fillId="0" borderId="15" xfId="0" applyBorder="1" applyAlignment="1">
      <alignment horizontal="left" vertical="center" indent="1"/>
    </xf>
    <xf numFmtId="0" fontId="0" fillId="0" borderId="16" xfId="0" applyBorder="1" applyAlignment="1">
      <alignment horizontal="left" vertical="center" indent="1"/>
    </xf>
    <xf numFmtId="0" fontId="0" fillId="0" borderId="12" xfId="0" applyBorder="1" applyAlignment="1">
      <alignment horizontal="left" vertical="center" indent="1"/>
    </xf>
    <xf numFmtId="0" fontId="4" fillId="0" borderId="12"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5" xfId="0" applyFont="1" applyBorder="1" applyAlignment="1">
      <alignment horizontal="left" vertical="center" wrapText="1" indent="1"/>
    </xf>
    <xf numFmtId="0" fontId="0" fillId="0" borderId="16" xfId="0" applyBorder="1" applyAlignment="1">
      <alignment horizontal="left" vertical="center" wrapText="1" indent="1"/>
    </xf>
    <xf numFmtId="0" fontId="0" fillId="0" borderId="15" xfId="0" applyBorder="1" applyAlignment="1">
      <alignment horizontal="left" vertical="center" wrapText="1" indent="1"/>
    </xf>
    <xf numFmtId="188" fontId="9" fillId="0" borderId="12" xfId="0" applyNumberFormat="1" applyFont="1" applyFill="1" applyBorder="1" applyAlignment="1">
      <alignment horizontal="left" vertical="center" wrapText="1"/>
    </xf>
    <xf numFmtId="188" fontId="9" fillId="0" borderId="16" xfId="0" applyNumberFormat="1" applyFont="1" applyFill="1" applyBorder="1" applyAlignment="1">
      <alignment horizontal="left" vertical="center" wrapText="1"/>
    </xf>
    <xf numFmtId="188" fontId="9" fillId="0" borderId="15" xfId="0" applyNumberFormat="1" applyFont="1" applyFill="1" applyBorder="1" applyAlignment="1">
      <alignment horizontal="left" vertical="center" wrapText="1"/>
    </xf>
    <xf numFmtId="2" fontId="4" fillId="0" borderId="11" xfId="0" applyNumberFormat="1" applyFont="1" applyFill="1" applyBorder="1" applyAlignment="1">
      <alignment horizontal="center"/>
    </xf>
    <xf numFmtId="2" fontId="4" fillId="0" borderId="13" xfId="0" applyNumberFormat="1" applyFont="1" applyFill="1" applyBorder="1" applyAlignment="1">
      <alignment horizontal="center"/>
    </xf>
    <xf numFmtId="189" fontId="9" fillId="0" borderId="11" xfId="0" applyNumberFormat="1" applyFont="1" applyFill="1" applyBorder="1" applyAlignment="1" quotePrefix="1">
      <alignment horizontal="center"/>
    </xf>
    <xf numFmtId="189" fontId="9" fillId="0" borderId="13" xfId="0" applyNumberFormat="1" applyFont="1" applyFill="1" applyBorder="1" applyAlignment="1" quotePrefix="1">
      <alignment horizontal="center"/>
    </xf>
    <xf numFmtId="49" fontId="6" fillId="34" borderId="12" xfId="57" applyNumberFormat="1" applyFont="1" applyFill="1" applyBorder="1" applyAlignment="1">
      <alignment horizontal="center" vertical="top"/>
      <protection/>
    </xf>
    <xf numFmtId="49" fontId="6" fillId="34" borderId="16" xfId="57" applyNumberFormat="1" applyFont="1" applyFill="1" applyBorder="1" applyAlignment="1">
      <alignment horizontal="center" vertical="top"/>
      <protection/>
    </xf>
    <xf numFmtId="49" fontId="6" fillId="34" borderId="15" xfId="57" applyNumberFormat="1" applyFont="1" applyFill="1" applyBorder="1" applyAlignment="1">
      <alignment horizontal="center" vertical="top"/>
      <protection/>
    </xf>
    <xf numFmtId="1" fontId="6" fillId="33" borderId="11" xfId="0" applyNumberFormat="1" applyFont="1" applyFill="1" applyBorder="1" applyAlignment="1">
      <alignment horizontal="center" vertical="center"/>
    </xf>
    <xf numFmtId="1" fontId="6" fillId="33" borderId="13" xfId="0" applyNumberFormat="1" applyFont="1" applyFill="1" applyBorder="1" applyAlignment="1">
      <alignment horizontal="center" vertical="center"/>
    </xf>
    <xf numFmtId="186" fontId="4" fillId="0" borderId="11" xfId="0" applyNumberFormat="1" applyFont="1" applyFill="1" applyBorder="1" applyAlignment="1">
      <alignment horizontal="center"/>
    </xf>
    <xf numFmtId="186" fontId="4" fillId="0" borderId="13" xfId="0" applyNumberFormat="1" applyFont="1" applyFill="1" applyBorder="1" applyAlignment="1">
      <alignment horizontal="center"/>
    </xf>
    <xf numFmtId="188" fontId="4" fillId="0" borderId="10" xfId="0" applyNumberFormat="1" applyFont="1" applyFill="1" applyBorder="1" applyAlignment="1">
      <alignment horizontal="center"/>
    </xf>
    <xf numFmtId="188" fontId="4" fillId="0" borderId="11" xfId="0" applyNumberFormat="1" applyFont="1" applyFill="1" applyBorder="1" applyAlignment="1">
      <alignment horizontal="right"/>
    </xf>
    <xf numFmtId="188" fontId="4" fillId="0" borderId="14" xfId="0" applyNumberFormat="1" applyFont="1" applyFill="1" applyBorder="1" applyAlignment="1">
      <alignment horizontal="right"/>
    </xf>
    <xf numFmtId="188" fontId="4" fillId="0" borderId="11" xfId="0" applyNumberFormat="1" applyFont="1" applyFill="1" applyBorder="1" applyAlignment="1">
      <alignment horizontal="center"/>
    </xf>
    <xf numFmtId="188" fontId="4" fillId="0" borderId="14" xfId="0" applyNumberFormat="1" applyFont="1" applyFill="1" applyBorder="1" applyAlignment="1">
      <alignment horizontal="center"/>
    </xf>
    <xf numFmtId="1" fontId="4" fillId="0" borderId="11" xfId="0" applyNumberFormat="1" applyFont="1" applyFill="1" applyBorder="1" applyAlignment="1">
      <alignment/>
    </xf>
    <xf numFmtId="1" fontId="4" fillId="0" borderId="14" xfId="0" applyNumberFormat="1" applyFont="1" applyFill="1" applyBorder="1" applyAlignment="1">
      <alignment/>
    </xf>
    <xf numFmtId="0" fontId="2" fillId="0" borderId="0" xfId="0" applyFont="1" applyAlignment="1">
      <alignment horizontal="center" vertical="center"/>
    </xf>
    <xf numFmtId="188" fontId="2" fillId="0" borderId="12" xfId="0" applyNumberFormat="1" applyFont="1" applyBorder="1" applyAlignment="1">
      <alignment horizontal="center" vertical="center"/>
    </xf>
    <xf numFmtId="188" fontId="2" fillId="0" borderId="16" xfId="0" applyNumberFormat="1" applyFont="1" applyBorder="1" applyAlignment="1">
      <alignment horizontal="center" vertical="center"/>
    </xf>
    <xf numFmtId="188" fontId="2" fillId="0" borderId="15" xfId="0" applyNumberFormat="1" applyFont="1" applyBorder="1" applyAlignment="1">
      <alignment horizontal="center" vertical="center"/>
    </xf>
    <xf numFmtId="188" fontId="12" fillId="33" borderId="10" xfId="0" applyNumberFormat="1" applyFont="1" applyFill="1" applyBorder="1" applyAlignment="1">
      <alignment horizontal="center" vertical="center"/>
    </xf>
    <xf numFmtId="188" fontId="12" fillId="33" borderId="10" xfId="0" applyNumberFormat="1" applyFont="1" applyFill="1" applyBorder="1" applyAlignment="1">
      <alignment horizontal="center" vertical="center" wrapText="1"/>
    </xf>
    <xf numFmtId="188" fontId="6" fillId="33" borderId="12" xfId="0" applyNumberFormat="1" applyFont="1" applyFill="1" applyBorder="1" applyAlignment="1">
      <alignment horizontal="center"/>
    </xf>
    <xf numFmtId="188" fontId="6" fillId="33" borderId="16" xfId="0" applyNumberFormat="1" applyFont="1" applyFill="1" applyBorder="1" applyAlignment="1">
      <alignment horizontal="center"/>
    </xf>
    <xf numFmtId="188" fontId="6" fillId="33" borderId="15" xfId="0" applyNumberFormat="1" applyFont="1" applyFill="1" applyBorder="1" applyAlignment="1">
      <alignment horizontal="center"/>
    </xf>
    <xf numFmtId="188" fontId="6" fillId="33" borderId="11" xfId="0" applyNumberFormat="1" applyFont="1" applyFill="1" applyBorder="1" applyAlignment="1">
      <alignment horizontal="center" vertical="center"/>
    </xf>
    <xf numFmtId="188" fontId="6" fillId="33" borderId="13" xfId="0" applyNumberFormat="1" applyFont="1" applyFill="1" applyBorder="1" applyAlignment="1">
      <alignment horizontal="center" vertical="center"/>
    </xf>
    <xf numFmtId="188" fontId="6" fillId="33" borderId="10" xfId="0" applyNumberFormat="1" applyFont="1" applyFill="1" applyBorder="1" applyAlignment="1">
      <alignment horizontal="center" vertical="center"/>
    </xf>
    <xf numFmtId="188" fontId="4" fillId="0" borderId="0" xfId="0" applyNumberFormat="1" applyFont="1" applyBorder="1" applyAlignment="1">
      <alignment horizontal="left" vertical="top"/>
    </xf>
    <xf numFmtId="189" fontId="4" fillId="0" borderId="11" xfId="0" applyNumberFormat="1" applyFont="1" applyFill="1" applyBorder="1" applyAlignment="1" quotePrefix="1">
      <alignment horizontal="center"/>
    </xf>
    <xf numFmtId="189" fontId="4" fillId="0" borderId="13" xfId="0" applyNumberFormat="1" applyFont="1" applyFill="1" applyBorder="1" applyAlignment="1" quotePrefix="1">
      <alignment horizontal="center"/>
    </xf>
    <xf numFmtId="188" fontId="4" fillId="0" borderId="11" xfId="0" applyNumberFormat="1" applyFont="1" applyFill="1" applyBorder="1" applyAlignment="1" quotePrefix="1">
      <alignment horizontal="center"/>
    </xf>
    <xf numFmtId="188" fontId="4" fillId="0" borderId="13" xfId="0" applyNumberFormat="1" applyFont="1" applyFill="1" applyBorder="1" applyAlignment="1" quotePrefix="1">
      <alignment horizontal="center"/>
    </xf>
    <xf numFmtId="186" fontId="4" fillId="0" borderId="11" xfId="0" applyNumberFormat="1" applyFont="1" applyFill="1" applyBorder="1" applyAlignment="1" quotePrefix="1">
      <alignment horizontal="center"/>
    </xf>
    <xf numFmtId="186" fontId="4" fillId="0" borderId="13" xfId="0" applyNumberFormat="1" applyFont="1" applyFill="1" applyBorder="1" applyAlignment="1" quotePrefix="1">
      <alignment horizontal="center"/>
    </xf>
    <xf numFmtId="188" fontId="4" fillId="0" borderId="12" xfId="0" applyNumberFormat="1" applyFont="1" applyFill="1" applyBorder="1" applyAlignment="1">
      <alignment horizontal="center" vertical="center"/>
    </xf>
    <xf numFmtId="188" fontId="4" fillId="0" borderId="16" xfId="0" applyNumberFormat="1" applyFont="1" applyFill="1" applyBorder="1" applyAlignment="1">
      <alignment horizontal="center" vertical="center"/>
    </xf>
    <xf numFmtId="188" fontId="4" fillId="0" borderId="15" xfId="0" applyNumberFormat="1" applyFont="1" applyFill="1" applyBorder="1" applyAlignment="1">
      <alignment horizontal="center" vertical="center"/>
    </xf>
    <xf numFmtId="188" fontId="9" fillId="0" borderId="12" xfId="0" applyNumberFormat="1" applyFont="1" applyFill="1" applyBorder="1" applyAlignment="1">
      <alignment horizontal="left" wrapText="1"/>
    </xf>
    <xf numFmtId="188" fontId="9" fillId="0" borderId="16" xfId="0" applyNumberFormat="1" applyFont="1" applyFill="1" applyBorder="1" applyAlignment="1">
      <alignment horizontal="left" wrapText="1"/>
    </xf>
    <xf numFmtId="188" fontId="9" fillId="0" borderId="15" xfId="0" applyNumberFormat="1" applyFont="1" applyFill="1" applyBorder="1" applyAlignment="1">
      <alignment horizontal="left" wrapText="1"/>
    </xf>
    <xf numFmtId="189" fontId="6" fillId="34" borderId="11" xfId="0" applyNumberFormat="1" applyFont="1" applyFill="1" applyBorder="1" applyAlignment="1">
      <alignment horizontal="center" vertical="top"/>
    </xf>
    <xf numFmtId="189" fontId="6" fillId="34" borderId="14" xfId="0" applyNumberFormat="1" applyFont="1" applyFill="1" applyBorder="1" applyAlignment="1">
      <alignment horizontal="center" vertical="top"/>
    </xf>
    <xf numFmtId="189" fontId="6" fillId="34" borderId="13" xfId="0" applyNumberFormat="1" applyFont="1" applyFill="1" applyBorder="1" applyAlignment="1">
      <alignment horizontal="center" vertical="top"/>
    </xf>
    <xf numFmtId="49" fontId="6" fillId="34" borderId="11" xfId="57" applyNumberFormat="1" applyFont="1" applyFill="1" applyBorder="1" applyAlignment="1">
      <alignment horizontal="center" vertical="top" wrapText="1"/>
      <protection/>
    </xf>
    <xf numFmtId="49" fontId="6" fillId="34" borderId="14" xfId="57" applyNumberFormat="1" applyFont="1" applyFill="1" applyBorder="1" applyAlignment="1">
      <alignment horizontal="center" vertical="top" wrapText="1"/>
      <protection/>
    </xf>
    <xf numFmtId="49" fontId="6" fillId="34" borderId="13" xfId="57" applyNumberFormat="1" applyFont="1" applyFill="1" applyBorder="1" applyAlignment="1">
      <alignment horizontal="center" vertical="top" wrapText="1"/>
      <protection/>
    </xf>
    <xf numFmtId="188" fontId="4" fillId="34" borderId="11" xfId="57" applyNumberFormat="1" applyFill="1" applyBorder="1" applyAlignment="1">
      <alignment horizontal="right"/>
      <protection/>
    </xf>
    <xf numFmtId="188" fontId="4" fillId="34" borderId="14" xfId="57" applyNumberFormat="1" applyFill="1" applyBorder="1" applyAlignment="1">
      <alignment horizontal="right"/>
      <protection/>
    </xf>
    <xf numFmtId="188" fontId="4" fillId="34" borderId="13" xfId="57" applyNumberFormat="1" applyFill="1" applyBorder="1" applyAlignment="1">
      <alignment horizontal="right"/>
      <protection/>
    </xf>
    <xf numFmtId="188" fontId="4" fillId="0" borderId="13" xfId="0" applyNumberFormat="1" applyFont="1" applyFill="1" applyBorder="1" applyAlignment="1">
      <alignment horizontal="center"/>
    </xf>
    <xf numFmtId="1" fontId="4" fillId="34" borderId="11" xfId="57" applyNumberFormat="1" applyFill="1" applyBorder="1" applyAlignment="1">
      <alignment/>
      <protection/>
    </xf>
    <xf numFmtId="1" fontId="4" fillId="34" borderId="14" xfId="57" applyNumberFormat="1" applyFill="1" applyBorder="1" applyAlignment="1">
      <alignment/>
      <protection/>
    </xf>
    <xf numFmtId="1" fontId="4" fillId="34" borderId="13" xfId="57" applyNumberFormat="1" applyFill="1" applyBorder="1" applyAlignment="1">
      <alignment/>
      <protection/>
    </xf>
    <xf numFmtId="188" fontId="4" fillId="34" borderId="11" xfId="57" applyNumberFormat="1" applyFont="1" applyFill="1" applyBorder="1" applyAlignment="1">
      <alignment horizontal="center"/>
      <protection/>
    </xf>
    <xf numFmtId="188" fontId="4" fillId="34" borderId="14" xfId="57" applyNumberFormat="1" applyFont="1" applyFill="1" applyBorder="1" applyAlignment="1">
      <alignment horizontal="center"/>
      <protection/>
    </xf>
    <xf numFmtId="188" fontId="4" fillId="34" borderId="13" xfId="57" applyNumberFormat="1" applyFont="1" applyFill="1" applyBorder="1" applyAlignment="1">
      <alignment horizontal="center"/>
      <protection/>
    </xf>
    <xf numFmtId="188" fontId="9" fillId="34" borderId="12" xfId="0" applyNumberFormat="1" applyFont="1" applyFill="1" applyBorder="1" applyAlignment="1">
      <alignment horizontal="left" wrapText="1"/>
    </xf>
    <xf numFmtId="188" fontId="9" fillId="34" borderId="16" xfId="0" applyNumberFormat="1" applyFont="1" applyFill="1" applyBorder="1" applyAlignment="1">
      <alignment horizontal="left" wrapText="1"/>
    </xf>
    <xf numFmtId="188" fontId="9" fillId="34" borderId="15" xfId="0" applyNumberFormat="1" applyFont="1" applyFill="1" applyBorder="1" applyAlignment="1">
      <alignment horizontal="left" wrapText="1"/>
    </xf>
    <xf numFmtId="49" fontId="6" fillId="34" borderId="11" xfId="57" applyNumberFormat="1" applyFont="1" applyFill="1" applyBorder="1" applyAlignment="1">
      <alignment horizontal="center" vertical="top"/>
      <protection/>
    </xf>
    <xf numFmtId="49" fontId="6" fillId="34" borderId="14" xfId="57" applyNumberFormat="1" applyFont="1" applyFill="1" applyBorder="1" applyAlignment="1">
      <alignment horizontal="center" vertical="top"/>
      <protection/>
    </xf>
    <xf numFmtId="49" fontId="6" fillId="34" borderId="13" xfId="57" applyNumberFormat="1" applyFont="1" applyFill="1" applyBorder="1" applyAlignment="1">
      <alignment horizontal="center" vertical="top"/>
      <protection/>
    </xf>
    <xf numFmtId="49" fontId="6" fillId="34" borderId="10" xfId="57" applyNumberFormat="1" applyFont="1" applyFill="1" applyBorder="1" applyAlignment="1">
      <alignment horizontal="center" vertical="top" wrapText="1"/>
      <protection/>
    </xf>
    <xf numFmtId="188" fontId="2" fillId="0" borderId="12" xfId="0" applyNumberFormat="1" applyFont="1" applyFill="1" applyBorder="1" applyAlignment="1">
      <alignment horizontal="center" vertical="top" wrapText="1"/>
    </xf>
    <xf numFmtId="188" fontId="2" fillId="0" borderId="16" xfId="0" applyNumberFormat="1" applyFont="1" applyFill="1" applyBorder="1" applyAlignment="1">
      <alignment horizontal="center" vertical="top" wrapText="1"/>
    </xf>
    <xf numFmtId="188" fontId="2" fillId="0" borderId="15"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49" fontId="8" fillId="0" borderId="16" xfId="0" applyNumberFormat="1" applyFont="1" applyFill="1" applyBorder="1" applyAlignment="1">
      <alignment horizontal="center" vertical="top" wrapText="1"/>
    </xf>
    <xf numFmtId="49" fontId="8" fillId="0" borderId="15" xfId="0" applyNumberFormat="1" applyFont="1" applyFill="1" applyBorder="1" applyAlignment="1">
      <alignment horizontal="center" vertical="top" wrapText="1"/>
    </xf>
    <xf numFmtId="188" fontId="4" fillId="0" borderId="12" xfId="0" applyNumberFormat="1" applyFont="1" applyFill="1" applyBorder="1" applyAlignment="1">
      <alignment horizontal="center"/>
    </xf>
    <xf numFmtId="188" fontId="4" fillId="0" borderId="16" xfId="0" applyNumberFormat="1" applyFont="1" applyFill="1" applyBorder="1" applyAlignment="1">
      <alignment horizontal="center"/>
    </xf>
    <xf numFmtId="188" fontId="4" fillId="0" borderId="15" xfId="0" applyNumberFormat="1" applyFont="1" applyFill="1" applyBorder="1" applyAlignment="1">
      <alignment horizontal="center"/>
    </xf>
    <xf numFmtId="188" fontId="4" fillId="0" borderId="10" xfId="0" applyNumberFormat="1" applyFont="1" applyFill="1" applyBorder="1" applyAlignment="1">
      <alignment/>
    </xf>
    <xf numFmtId="1" fontId="4" fillId="0" borderId="10" xfId="0" applyNumberFormat="1" applyFont="1" applyFill="1" applyBorder="1" applyAlignment="1">
      <alignment horizontal="center"/>
    </xf>
    <xf numFmtId="188" fontId="9" fillId="0" borderId="10" xfId="0" applyNumberFormat="1" applyFont="1" applyFill="1" applyBorder="1" applyAlignment="1">
      <alignment horizontal="right"/>
    </xf>
    <xf numFmtId="49" fontId="8" fillId="0" borderId="10" xfId="0" applyNumberFormat="1" applyFont="1" applyFill="1" applyBorder="1" applyAlignment="1">
      <alignment horizontal="center" vertical="top"/>
    </xf>
    <xf numFmtId="49" fontId="8" fillId="0" borderId="10" xfId="0" applyNumberFormat="1" applyFont="1" applyFill="1" applyBorder="1" applyAlignment="1">
      <alignment horizontal="center" vertical="top" wrapText="1"/>
    </xf>
    <xf numFmtId="2" fontId="9" fillId="0" borderId="11" xfId="0" applyNumberFormat="1" applyFont="1" applyFill="1" applyBorder="1" applyAlignment="1" quotePrefix="1">
      <alignment horizontal="center"/>
    </xf>
    <xf numFmtId="2" fontId="9" fillId="0" borderId="13" xfId="0" applyNumberFormat="1" applyFont="1" applyFill="1" applyBorder="1" applyAlignment="1" quotePrefix="1">
      <alignment horizontal="center"/>
    </xf>
    <xf numFmtId="49" fontId="6" fillId="0" borderId="10" xfId="0" applyNumberFormat="1" applyFont="1" applyFill="1" applyBorder="1" applyAlignment="1">
      <alignment horizontal="center" vertical="center"/>
    </xf>
    <xf numFmtId="188" fontId="4" fillId="0" borderId="21" xfId="0" applyNumberFormat="1" applyFont="1" applyBorder="1" applyAlignment="1">
      <alignment horizontal="left" vertical="top"/>
    </xf>
    <xf numFmtId="189" fontId="6" fillId="0" borderId="0" xfId="0" applyNumberFormat="1" applyFont="1" applyBorder="1" applyAlignment="1">
      <alignment horizontal="left" vertical="center"/>
    </xf>
    <xf numFmtId="0" fontId="7" fillId="0" borderId="0" xfId="0" applyFont="1" applyAlignment="1">
      <alignment horizontal="center"/>
    </xf>
    <xf numFmtId="0" fontId="7" fillId="0" borderId="0" xfId="0" applyFont="1" applyAlignment="1">
      <alignment horizontal="center" vertical="center"/>
    </xf>
    <xf numFmtId="189" fontId="4" fillId="34" borderId="11" xfId="0" applyNumberFormat="1" applyFont="1" applyFill="1" applyBorder="1" applyAlignment="1">
      <alignment horizontal="center"/>
    </xf>
    <xf numFmtId="189" fontId="4" fillId="34" borderId="14" xfId="0" applyNumberFormat="1" applyFont="1" applyFill="1" applyBorder="1" applyAlignment="1">
      <alignment horizontal="center"/>
    </xf>
    <xf numFmtId="189" fontId="4" fillId="34" borderId="13" xfId="0" applyNumberFormat="1" applyFont="1" applyFill="1" applyBorder="1" applyAlignment="1">
      <alignment horizontal="center"/>
    </xf>
    <xf numFmtId="188" fontId="6" fillId="34" borderId="11" xfId="0" applyNumberFormat="1" applyFont="1" applyFill="1" applyBorder="1" applyAlignment="1">
      <alignment horizontal="center"/>
    </xf>
    <xf numFmtId="188" fontId="6" fillId="34" borderId="14" xfId="0" applyNumberFormat="1" applyFont="1" applyFill="1" applyBorder="1" applyAlignment="1">
      <alignment horizontal="center"/>
    </xf>
    <xf numFmtId="188" fontId="6" fillId="34" borderId="13" xfId="0" applyNumberFormat="1" applyFont="1" applyFill="1" applyBorder="1" applyAlignment="1">
      <alignment horizontal="center"/>
    </xf>
    <xf numFmtId="1" fontId="4" fillId="34" borderId="11" xfId="0" applyNumberFormat="1" applyFont="1" applyFill="1" applyBorder="1" applyAlignment="1">
      <alignment horizontal="center"/>
    </xf>
    <xf numFmtId="1" fontId="4" fillId="34" borderId="14" xfId="0" applyNumberFormat="1" applyFont="1" applyFill="1" applyBorder="1" applyAlignment="1">
      <alignment horizontal="center"/>
    </xf>
    <xf numFmtId="1" fontId="4" fillId="34" borderId="13" xfId="0" applyNumberFormat="1" applyFont="1" applyFill="1" applyBorder="1" applyAlignment="1">
      <alignment horizontal="center"/>
    </xf>
    <xf numFmtId="188" fontId="8" fillId="34" borderId="12" xfId="0" applyNumberFormat="1" applyFont="1" applyFill="1" applyBorder="1" applyAlignment="1">
      <alignment horizontal="left" wrapText="1"/>
    </xf>
    <xf numFmtId="188" fontId="8" fillId="34" borderId="16" xfId="0" applyNumberFormat="1" applyFont="1" applyFill="1" applyBorder="1" applyAlignment="1">
      <alignment horizontal="left" wrapText="1"/>
    </xf>
    <xf numFmtId="188" fontId="8" fillId="34" borderId="15" xfId="0" applyNumberFormat="1" applyFont="1" applyFill="1" applyBorder="1" applyAlignment="1">
      <alignment horizontal="left" wrapText="1"/>
    </xf>
    <xf numFmtId="188" fontId="4" fillId="34" borderId="11" xfId="0" applyNumberFormat="1" applyFont="1" applyFill="1" applyBorder="1" applyAlignment="1">
      <alignment horizontal="center"/>
    </xf>
    <xf numFmtId="188" fontId="4" fillId="34" borderId="14" xfId="0" applyNumberFormat="1" applyFont="1" applyFill="1" applyBorder="1" applyAlignment="1">
      <alignment horizontal="center"/>
    </xf>
    <xf numFmtId="188" fontId="4" fillId="34" borderId="13" xfId="0" applyNumberFormat="1" applyFont="1" applyFill="1" applyBorder="1" applyAlignment="1">
      <alignment horizontal="center"/>
    </xf>
    <xf numFmtId="49" fontId="6" fillId="34" borderId="12" xfId="57" applyNumberFormat="1" applyFont="1" applyFill="1" applyBorder="1" applyAlignment="1">
      <alignment horizontal="center" vertical="top" wrapText="1"/>
      <protection/>
    </xf>
    <xf numFmtId="49" fontId="6" fillId="34" borderId="16" xfId="57" applyNumberFormat="1" applyFont="1" applyFill="1" applyBorder="1" applyAlignment="1">
      <alignment horizontal="center" vertical="top" wrapText="1"/>
      <protection/>
    </xf>
    <xf numFmtId="49" fontId="6" fillId="34" borderId="15" xfId="57" applyNumberFormat="1" applyFont="1" applyFill="1" applyBorder="1" applyAlignment="1">
      <alignment horizontal="center" vertical="top" wrapText="1"/>
      <protection/>
    </xf>
    <xf numFmtId="49" fontId="6" fillId="34" borderId="11" xfId="0" applyNumberFormat="1" applyFont="1" applyFill="1" applyBorder="1" applyAlignment="1">
      <alignment horizontal="center" vertical="top"/>
    </xf>
    <xf numFmtId="49" fontId="6" fillId="34" borderId="14" xfId="0" applyNumberFormat="1" applyFont="1" applyFill="1" applyBorder="1" applyAlignment="1">
      <alignment horizontal="center" vertical="top"/>
    </xf>
    <xf numFmtId="49" fontId="6" fillId="34" borderId="11" xfId="0" applyNumberFormat="1" applyFont="1" applyFill="1" applyBorder="1" applyAlignment="1">
      <alignment horizontal="center" vertical="top" wrapText="1"/>
    </xf>
    <xf numFmtId="49" fontId="6" fillId="34" borderId="14" xfId="0" applyNumberFormat="1" applyFont="1" applyFill="1" applyBorder="1" applyAlignment="1">
      <alignment horizontal="center" vertical="top" wrapText="1"/>
    </xf>
    <xf numFmtId="49" fontId="6" fillId="34" borderId="12" xfId="0" applyNumberFormat="1" applyFont="1" applyFill="1" applyBorder="1" applyAlignment="1">
      <alignment horizontal="center" wrapText="1"/>
    </xf>
    <xf numFmtId="49" fontId="6" fillId="34" borderId="16" xfId="0" applyNumberFormat="1" applyFont="1" applyFill="1" applyBorder="1" applyAlignment="1">
      <alignment horizontal="center" wrapText="1"/>
    </xf>
    <xf numFmtId="49" fontId="6" fillId="34" borderId="15" xfId="0" applyNumberFormat="1" applyFont="1" applyFill="1" applyBorder="1" applyAlignment="1">
      <alignment horizontal="center" wrapText="1"/>
    </xf>
    <xf numFmtId="49" fontId="6" fillId="34" borderId="13" xfId="0" applyNumberFormat="1" applyFont="1" applyFill="1" applyBorder="1" applyAlignment="1">
      <alignment horizontal="center" vertical="top" wrapText="1"/>
    </xf>
    <xf numFmtId="49" fontId="6" fillId="34" borderId="10" xfId="0" applyNumberFormat="1" applyFont="1" applyFill="1" applyBorder="1" applyAlignment="1">
      <alignment horizontal="center" vertical="center" wrapText="1"/>
    </xf>
    <xf numFmtId="49" fontId="8" fillId="34" borderId="11" xfId="57" applyNumberFormat="1" applyFont="1" applyFill="1" applyBorder="1" applyAlignment="1">
      <alignment horizontal="center" vertical="top" wrapText="1"/>
      <protection/>
    </xf>
    <xf numFmtId="49" fontId="8" fillId="34" borderId="14" xfId="57" applyNumberFormat="1" applyFont="1" applyFill="1" applyBorder="1" applyAlignment="1">
      <alignment horizontal="center" vertical="top" wrapText="1"/>
      <protection/>
    </xf>
    <xf numFmtId="1" fontId="4" fillId="34" borderId="11" xfId="0" applyNumberFormat="1" applyFont="1" applyFill="1" applyBorder="1" applyAlignment="1">
      <alignment/>
    </xf>
    <xf numFmtId="1" fontId="4" fillId="34" borderId="14" xfId="0" applyNumberFormat="1" applyFont="1" applyFill="1" applyBorder="1" applyAlignment="1">
      <alignment/>
    </xf>
    <xf numFmtId="1" fontId="4" fillId="34" borderId="13" xfId="0" applyNumberFormat="1" applyFont="1" applyFill="1" applyBorder="1" applyAlignment="1">
      <alignment/>
    </xf>
    <xf numFmtId="49" fontId="6" fillId="34" borderId="11" xfId="0" applyNumberFormat="1" applyFont="1" applyFill="1" applyBorder="1" applyAlignment="1">
      <alignment horizontal="center"/>
    </xf>
    <xf numFmtId="49" fontId="6" fillId="34" borderId="14" xfId="0" applyNumberFormat="1" applyFont="1" applyFill="1" applyBorder="1" applyAlignment="1">
      <alignment horizontal="center"/>
    </xf>
    <xf numFmtId="188" fontId="9" fillId="34" borderId="10" xfId="0" applyNumberFormat="1" applyFont="1" applyFill="1" applyBorder="1" applyAlignment="1">
      <alignment horizontal="justify" vertical="top" wrapText="1"/>
    </xf>
    <xf numFmtId="0" fontId="9" fillId="34" borderId="10" xfId="0" applyFont="1" applyFill="1" applyBorder="1" applyAlignment="1">
      <alignment vertical="top"/>
    </xf>
    <xf numFmtId="49" fontId="6" fillId="34" borderId="12" xfId="0" applyNumberFormat="1" applyFont="1" applyFill="1" applyBorder="1" applyAlignment="1">
      <alignment horizontal="center" vertical="top" wrapText="1"/>
    </xf>
    <xf numFmtId="49" fontId="6" fillId="34" borderId="16" xfId="0" applyNumberFormat="1" applyFont="1" applyFill="1" applyBorder="1" applyAlignment="1">
      <alignment horizontal="center" vertical="top" wrapText="1"/>
    </xf>
    <xf numFmtId="49" fontId="6" fillId="34" borderId="15" xfId="0" applyNumberFormat="1" applyFont="1" applyFill="1" applyBorder="1" applyAlignment="1">
      <alignment horizontal="center" vertical="top" wrapText="1"/>
    </xf>
    <xf numFmtId="189" fontId="4" fillId="34" borderId="10" xfId="0" applyNumberFormat="1" applyFont="1" applyFill="1" applyBorder="1" applyAlignment="1" quotePrefix="1">
      <alignment horizontal="center"/>
    </xf>
    <xf numFmtId="188" fontId="4" fillId="34" borderId="10" xfId="0" applyNumberFormat="1" applyFont="1" applyFill="1" applyBorder="1" applyAlignment="1" quotePrefix="1">
      <alignment horizontal="center"/>
    </xf>
    <xf numFmtId="186" fontId="4" fillId="34" borderId="10" xfId="0" applyNumberFormat="1" applyFont="1" applyFill="1" applyBorder="1" applyAlignment="1" quotePrefix="1">
      <alignment horizontal="center"/>
    </xf>
    <xf numFmtId="186" fontId="4" fillId="34" borderId="10" xfId="0" applyNumberFormat="1" applyFont="1" applyFill="1" applyBorder="1" applyAlignment="1">
      <alignment horizontal="center"/>
    </xf>
    <xf numFmtId="188" fontId="4" fillId="34" borderId="10" xfId="0" applyNumberFormat="1" applyFont="1" applyFill="1" applyBorder="1" applyAlignment="1">
      <alignment horizontal="right"/>
    </xf>
    <xf numFmtId="188" fontId="4" fillId="34" borderId="11" xfId="0" applyNumberFormat="1" applyFont="1" applyFill="1" applyBorder="1" applyAlignment="1">
      <alignment horizontal="right"/>
    </xf>
    <xf numFmtId="188" fontId="4" fillId="34" borderId="14" xfId="0" applyNumberFormat="1" applyFont="1" applyFill="1" applyBorder="1" applyAlignment="1">
      <alignment horizontal="right"/>
    </xf>
    <xf numFmtId="188" fontId="4" fillId="34" borderId="13" xfId="0" applyNumberFormat="1" applyFont="1" applyFill="1" applyBorder="1" applyAlignment="1">
      <alignment horizontal="right"/>
    </xf>
    <xf numFmtId="188" fontId="6" fillId="34" borderId="10" xfId="0" applyNumberFormat="1" applyFont="1" applyFill="1" applyBorder="1" applyAlignment="1">
      <alignment horizontal="center" vertical="center"/>
    </xf>
    <xf numFmtId="1" fontId="6" fillId="34" borderId="11" xfId="0" applyNumberFormat="1" applyFont="1" applyFill="1" applyBorder="1" applyAlignment="1">
      <alignment horizontal="center" vertical="center"/>
    </xf>
    <xf numFmtId="1" fontId="6" fillId="34" borderId="13" xfId="0" applyNumberFormat="1" applyFont="1" applyFill="1" applyBorder="1" applyAlignment="1">
      <alignment horizontal="center" vertical="center"/>
    </xf>
    <xf numFmtId="0" fontId="10" fillId="34" borderId="0" xfId="0" applyFont="1" applyFill="1" applyBorder="1" applyAlignment="1">
      <alignment horizontal="center" vertical="center"/>
    </xf>
    <xf numFmtId="188" fontId="10" fillId="34" borderId="0" xfId="0" applyNumberFormat="1" applyFont="1" applyFill="1" applyBorder="1" applyAlignment="1">
      <alignment horizontal="center" vertical="center"/>
    </xf>
    <xf numFmtId="188" fontId="4" fillId="34" borderId="0" xfId="0" applyNumberFormat="1" applyFont="1" applyFill="1" applyBorder="1" applyAlignment="1">
      <alignment horizontal="left"/>
    </xf>
    <xf numFmtId="189" fontId="2" fillId="34" borderId="12" xfId="0" applyNumberFormat="1" applyFont="1" applyFill="1" applyBorder="1" applyAlignment="1">
      <alignment horizontal="center" vertical="top"/>
    </xf>
    <xf numFmtId="189" fontId="2" fillId="34" borderId="16" xfId="0" applyNumberFormat="1" applyFont="1" applyFill="1" applyBorder="1" applyAlignment="1">
      <alignment horizontal="center" vertical="top"/>
    </xf>
    <xf numFmtId="189" fontId="2" fillId="34" borderId="15" xfId="0" applyNumberFormat="1" applyFont="1" applyFill="1" applyBorder="1" applyAlignment="1">
      <alignment horizontal="center" vertical="top"/>
    </xf>
    <xf numFmtId="188" fontId="12" fillId="34" borderId="10" xfId="0" applyNumberFormat="1" applyFont="1" applyFill="1" applyBorder="1" applyAlignment="1">
      <alignment horizontal="center" vertical="center"/>
    </xf>
    <xf numFmtId="188" fontId="12" fillId="34" borderId="10" xfId="0" applyNumberFormat="1" applyFont="1" applyFill="1" applyBorder="1" applyAlignment="1">
      <alignment horizontal="center" vertical="center" wrapText="1"/>
    </xf>
    <xf numFmtId="188" fontId="6" fillId="34" borderId="10" xfId="0" applyNumberFormat="1" applyFont="1" applyFill="1" applyBorder="1" applyAlignment="1">
      <alignment horizontal="center"/>
    </xf>
    <xf numFmtId="188" fontId="6" fillId="34" borderId="11" xfId="0" applyNumberFormat="1" applyFont="1" applyFill="1" applyBorder="1" applyAlignment="1">
      <alignment horizontal="center" vertical="center"/>
    </xf>
    <xf numFmtId="188" fontId="6" fillId="34" borderId="13" xfId="0" applyNumberFormat="1" applyFont="1" applyFill="1" applyBorder="1" applyAlignment="1">
      <alignment horizontal="center" vertical="center"/>
    </xf>
    <xf numFmtId="189" fontId="9" fillId="0" borderId="11" xfId="0" applyNumberFormat="1" applyFont="1" applyFill="1" applyBorder="1" applyAlignment="1">
      <alignment horizontal="center"/>
    </xf>
    <xf numFmtId="189" fontId="9" fillId="0" borderId="13" xfId="0" applyNumberFormat="1" applyFont="1" applyFill="1" applyBorder="1" applyAlignment="1">
      <alignment horizontal="center"/>
    </xf>
    <xf numFmtId="188" fontId="9" fillId="0" borderId="11" xfId="0" applyNumberFormat="1" applyFont="1" applyFill="1" applyBorder="1" applyAlignment="1">
      <alignment horizontal="center"/>
    </xf>
    <xf numFmtId="188" fontId="9" fillId="0" borderId="14" xfId="0" applyNumberFormat="1" applyFont="1" applyFill="1" applyBorder="1" applyAlignment="1">
      <alignment horizontal="center"/>
    </xf>
    <xf numFmtId="188" fontId="9" fillId="0" borderId="13" xfId="0" applyNumberFormat="1" applyFont="1" applyFill="1" applyBorder="1" applyAlignment="1">
      <alignment horizontal="center"/>
    </xf>
    <xf numFmtId="1" fontId="9" fillId="0" borderId="11" xfId="0" applyNumberFormat="1" applyFont="1" applyFill="1" applyBorder="1" applyAlignment="1">
      <alignment horizontal="center"/>
    </xf>
    <xf numFmtId="1" fontId="9" fillId="0" borderId="14" xfId="0" applyNumberFormat="1" applyFont="1" applyFill="1" applyBorder="1" applyAlignment="1">
      <alignment horizontal="center"/>
    </xf>
    <xf numFmtId="1" fontId="9" fillId="0" borderId="13" xfId="0" applyNumberFormat="1" applyFont="1" applyFill="1" applyBorder="1" applyAlignment="1">
      <alignment horizontal="center"/>
    </xf>
    <xf numFmtId="0" fontId="2" fillId="0" borderId="20"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18" xfId="0" applyFont="1" applyBorder="1" applyAlignment="1">
      <alignment horizontal="center"/>
    </xf>
    <xf numFmtId="0" fontId="2" fillId="0" borderId="0" xfId="0" applyFont="1" applyBorder="1" applyAlignment="1">
      <alignment horizontal="center"/>
    </xf>
    <xf numFmtId="0" fontId="2" fillId="0" borderId="17" xfId="0" applyFont="1" applyBorder="1" applyAlignment="1">
      <alignment horizontal="center"/>
    </xf>
    <xf numFmtId="189" fontId="2" fillId="0" borderId="12" xfId="0" applyNumberFormat="1" applyFont="1" applyBorder="1" applyAlignment="1">
      <alignment horizontal="center" vertical="center"/>
    </xf>
    <xf numFmtId="189" fontId="2" fillId="0" borderId="16" xfId="0" applyNumberFormat="1" applyFont="1" applyBorder="1" applyAlignment="1">
      <alignment horizontal="center" vertical="center"/>
    </xf>
    <xf numFmtId="189" fontId="2" fillId="0" borderId="15" xfId="0" applyNumberFormat="1" applyFont="1" applyBorder="1" applyAlignment="1">
      <alignment horizontal="center" vertical="center"/>
    </xf>
    <xf numFmtId="188" fontId="4" fillId="33" borderId="11" xfId="0" applyNumberFormat="1" applyFont="1" applyFill="1" applyBorder="1" applyAlignment="1">
      <alignment horizontal="center" vertical="top" wrapText="1"/>
    </xf>
    <xf numFmtId="188" fontId="4" fillId="33" borderId="13" xfId="0" applyNumberFormat="1" applyFont="1" applyFill="1" applyBorder="1" applyAlignment="1">
      <alignment horizontal="center" vertical="top" wrapText="1"/>
    </xf>
    <xf numFmtId="188" fontId="8" fillId="33" borderId="11" xfId="0" applyNumberFormat="1" applyFont="1" applyFill="1" applyBorder="1" applyAlignment="1">
      <alignment horizontal="center" vertical="center" wrapText="1"/>
    </xf>
    <xf numFmtId="188" fontId="8" fillId="33" borderId="13" xfId="0" applyNumberFormat="1" applyFont="1" applyFill="1" applyBorder="1" applyAlignment="1">
      <alignment horizontal="center" vertical="center" wrapText="1"/>
    </xf>
    <xf numFmtId="188" fontId="8" fillId="33" borderId="10" xfId="0" applyNumberFormat="1" applyFont="1" applyFill="1" applyBorder="1" applyAlignment="1">
      <alignment horizontal="center" vertical="center"/>
    </xf>
    <xf numFmtId="188" fontId="6" fillId="33" borderId="12" xfId="0" applyNumberFormat="1" applyFont="1" applyFill="1" applyBorder="1" applyAlignment="1">
      <alignment horizontal="center" vertical="center"/>
    </xf>
    <xf numFmtId="188" fontId="6" fillId="33" borderId="16" xfId="0" applyNumberFormat="1" applyFont="1" applyFill="1" applyBorder="1" applyAlignment="1">
      <alignment horizontal="center" vertical="center"/>
    </xf>
    <xf numFmtId="188" fontId="6" fillId="33" borderId="15" xfId="0" applyNumberFormat="1" applyFont="1" applyFill="1" applyBorder="1" applyAlignment="1">
      <alignment horizontal="center" vertical="center"/>
    </xf>
    <xf numFmtId="189" fontId="8" fillId="33" borderId="11" xfId="0" applyNumberFormat="1" applyFont="1" applyFill="1" applyBorder="1" applyAlignment="1">
      <alignment horizontal="center" vertical="center"/>
    </xf>
    <xf numFmtId="189" fontId="8" fillId="33" borderId="13" xfId="0" applyNumberFormat="1" applyFont="1" applyFill="1" applyBorder="1" applyAlignment="1">
      <alignment horizontal="center" vertical="center"/>
    </xf>
    <xf numFmtId="1" fontId="8" fillId="33" borderId="11"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xf>
    <xf numFmtId="188" fontId="9" fillId="0" borderId="12" xfId="0" applyNumberFormat="1" applyFont="1" applyFill="1" applyBorder="1" applyAlignment="1">
      <alignment horizontal="center" vertical="top"/>
    </xf>
    <xf numFmtId="188" fontId="9" fillId="0" borderId="16" xfId="0" applyNumberFormat="1" applyFont="1" applyFill="1" applyBorder="1" applyAlignment="1">
      <alignment horizontal="center" vertical="top"/>
    </xf>
    <xf numFmtId="188" fontId="9" fillId="0" borderId="15" xfId="0" applyNumberFormat="1" applyFont="1" applyFill="1" applyBorder="1" applyAlignment="1">
      <alignment horizontal="center" vertical="top"/>
    </xf>
    <xf numFmtId="49" fontId="4" fillId="0" borderId="11"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186" fontId="9" fillId="0" borderId="11" xfId="0" applyNumberFormat="1" applyFont="1" applyFill="1" applyBorder="1" applyAlignment="1">
      <alignment horizontal="center" vertical="top" wrapText="1"/>
    </xf>
    <xf numFmtId="186" fontId="9" fillId="0" borderId="14" xfId="0" applyNumberFormat="1" applyFont="1" applyFill="1" applyBorder="1" applyAlignment="1">
      <alignment horizontal="center" vertical="top" wrapText="1"/>
    </xf>
    <xf numFmtId="186" fontId="9" fillId="0" borderId="13" xfId="0" applyNumberFormat="1" applyFont="1" applyFill="1" applyBorder="1" applyAlignment="1">
      <alignment horizontal="center" vertical="top" wrapText="1"/>
    </xf>
    <xf numFmtId="49" fontId="4" fillId="0" borderId="11"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49" fontId="5" fillId="0" borderId="11"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49" fontId="5" fillId="0" borderId="13" xfId="0" applyNumberFormat="1" applyFont="1" applyBorder="1" applyAlignment="1">
      <alignment horizontal="center" vertical="top" wrapText="1"/>
    </xf>
    <xf numFmtId="186" fontId="9" fillId="0" borderId="12" xfId="0" applyNumberFormat="1" applyFont="1" applyFill="1" applyBorder="1" applyAlignment="1">
      <alignment horizontal="center" vertical="top" wrapText="1"/>
    </xf>
    <xf numFmtId="186" fontId="9" fillId="0" borderId="16" xfId="0" applyNumberFormat="1" applyFont="1" applyFill="1" applyBorder="1" applyAlignment="1">
      <alignment horizontal="center" vertical="top" wrapText="1"/>
    </xf>
    <xf numFmtId="186" fontId="9" fillId="0" borderId="15" xfId="0" applyNumberFormat="1" applyFont="1" applyFill="1" applyBorder="1" applyAlignment="1">
      <alignment horizontal="center" vertical="top" wrapText="1"/>
    </xf>
    <xf numFmtId="49" fontId="9" fillId="0" borderId="11" xfId="0" applyNumberFormat="1" applyFont="1" applyFill="1" applyBorder="1" applyAlignment="1">
      <alignment horizontal="center" vertical="top" wrapText="1"/>
    </xf>
    <xf numFmtId="49" fontId="9" fillId="0" borderId="14" xfId="0" applyNumberFormat="1" applyFont="1" applyFill="1" applyBorder="1" applyAlignment="1">
      <alignment horizontal="center" vertical="top" wrapText="1"/>
    </xf>
    <xf numFmtId="49" fontId="9" fillId="0" borderId="13" xfId="0" applyNumberFormat="1" applyFont="1" applyFill="1" applyBorder="1" applyAlignment="1">
      <alignment horizontal="center" vertical="top" wrapText="1"/>
    </xf>
    <xf numFmtId="188" fontId="6" fillId="0" borderId="12" xfId="57" applyNumberFormat="1" applyFont="1" applyFill="1" applyBorder="1" applyAlignment="1">
      <alignment horizontal="center" vertical="top" wrapText="1"/>
      <protection/>
    </xf>
    <xf numFmtId="188" fontId="6" fillId="0" borderId="16" xfId="57" applyNumberFormat="1" applyFont="1" applyFill="1" applyBorder="1" applyAlignment="1">
      <alignment horizontal="center" vertical="top" wrapText="1"/>
      <protection/>
    </xf>
    <xf numFmtId="188" fontId="6" fillId="0" borderId="15" xfId="57" applyNumberFormat="1" applyFont="1" applyFill="1" applyBorder="1" applyAlignment="1">
      <alignment horizontal="center" vertical="top" wrapText="1"/>
      <protection/>
    </xf>
    <xf numFmtId="49" fontId="9" fillId="0" borderId="12" xfId="0" applyNumberFormat="1" applyFont="1" applyFill="1" applyBorder="1" applyAlignment="1">
      <alignment horizontal="center" vertical="top" wrapText="1"/>
    </xf>
    <xf numFmtId="49" fontId="9" fillId="0" borderId="16" xfId="0" applyNumberFormat="1" applyFont="1" applyFill="1" applyBorder="1" applyAlignment="1">
      <alignment horizontal="center" vertical="top" wrapText="1"/>
    </xf>
    <xf numFmtId="49" fontId="9" fillId="0" borderId="15" xfId="0" applyNumberFormat="1" applyFont="1" applyFill="1" applyBorder="1" applyAlignment="1">
      <alignment horizontal="center" vertical="top" wrapText="1"/>
    </xf>
    <xf numFmtId="49" fontId="4" fillId="0" borderId="11" xfId="57" applyNumberFormat="1" applyFont="1" applyFill="1" applyBorder="1" applyAlignment="1">
      <alignment horizontal="center" vertical="top"/>
      <protection/>
    </xf>
    <xf numFmtId="49" fontId="4" fillId="0" borderId="14" xfId="57" applyNumberFormat="1" applyFont="1" applyFill="1" applyBorder="1" applyAlignment="1">
      <alignment horizontal="center" vertical="top"/>
      <protection/>
    </xf>
    <xf numFmtId="2" fontId="4" fillId="34" borderId="10" xfId="0" applyNumberFormat="1" applyFont="1" applyFill="1" applyBorder="1" applyAlignment="1">
      <alignment/>
    </xf>
    <xf numFmtId="187" fontId="6" fillId="34" borderId="12" xfId="0" applyNumberFormat="1" applyFont="1" applyFill="1" applyBorder="1" applyAlignment="1">
      <alignment horizontal="right"/>
    </xf>
    <xf numFmtId="187" fontId="6" fillId="34" borderId="16" xfId="0" applyNumberFormat="1" applyFont="1" applyFill="1" applyBorder="1" applyAlignment="1">
      <alignment horizontal="right"/>
    </xf>
    <xf numFmtId="187" fontId="6" fillId="34" borderId="15" xfId="0" applyNumberFormat="1" applyFont="1" applyFill="1" applyBorder="1" applyAlignment="1">
      <alignment horizontal="right"/>
    </xf>
    <xf numFmtId="1" fontId="6" fillId="35" borderId="10" xfId="0" applyNumberFormat="1" applyFont="1" applyFill="1" applyBorder="1" applyAlignment="1">
      <alignment horizontal="center"/>
    </xf>
    <xf numFmtId="189" fontId="6" fillId="35" borderId="15" xfId="57" applyNumberFormat="1" applyFont="1" applyFill="1" applyBorder="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Desktop\PSM\smart%20roads%20-%20Copy\Badi%20omti%20to%20Malviye%20chow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ain 1"/>
      <sheetName val="Road 1"/>
      <sheetName val="Abstract"/>
      <sheetName val="Footpath"/>
      <sheetName val="Sheet1"/>
    </sheetNames>
    <sheetDataSet>
      <sheetData sheetId="1">
        <row r="1">
          <cell r="A1" t="str">
            <v>PROPOSED ROAD 5 (A) FROM BADI OMTI TO MALVIYA CHOWK JABALPUR (M.P.)</v>
          </cell>
        </row>
        <row r="2">
          <cell r="A2" t="str">
            <v>Length of the Road =670 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7030A0"/>
  </sheetPr>
  <dimension ref="A1:M71"/>
  <sheetViews>
    <sheetView tabSelected="1" view="pageBreakPreview" zoomScaleSheetLayoutView="100" zoomScalePageLayoutView="0" workbookViewId="0" topLeftCell="A1">
      <selection activeCell="G6" sqref="G6:G8"/>
    </sheetView>
  </sheetViews>
  <sheetFormatPr defaultColWidth="9.140625" defaultRowHeight="15"/>
  <cols>
    <col min="1" max="1" width="5.8515625" style="0" customWidth="1"/>
    <col min="3" max="3" width="12.00390625" style="0" customWidth="1"/>
    <col min="4" max="4" width="11.421875" style="85" customWidth="1"/>
    <col min="5" max="5" width="16.8515625" style="0" customWidth="1"/>
    <col min="6" max="7" width="15.8515625" style="0" customWidth="1"/>
  </cols>
  <sheetData>
    <row r="1" spans="1:11" ht="42" customHeight="1">
      <c r="A1" s="372" t="str">
        <f>'Road 1'!A1:K1</f>
        <v>PROPOSED ROAD No. 5 (B) FROM BADI OMTI TO MALVIYA CHOWK JABALPUR (M.P.)</v>
      </c>
      <c r="B1" s="372"/>
      <c r="C1" s="372"/>
      <c r="D1" s="372"/>
      <c r="E1" s="372"/>
      <c r="F1" s="372"/>
      <c r="G1" s="372"/>
      <c r="H1" s="164"/>
      <c r="I1" s="164"/>
      <c r="J1" s="164"/>
      <c r="K1" s="164"/>
    </row>
    <row r="2" spans="1:13" s="85" customFormat="1" ht="24" customHeight="1">
      <c r="A2" s="373" t="s">
        <v>79</v>
      </c>
      <c r="B2" s="373"/>
      <c r="C2" s="373"/>
      <c r="D2" s="373"/>
      <c r="E2" s="373"/>
      <c r="F2" s="373"/>
      <c r="G2" s="373"/>
      <c r="H2" s="165"/>
      <c r="I2" s="165"/>
      <c r="J2" s="165"/>
      <c r="K2" s="165"/>
      <c r="L2" s="165"/>
      <c r="M2" s="165"/>
    </row>
    <row r="3" spans="1:13" s="85" customFormat="1" ht="22.5" customHeight="1">
      <c r="A3" s="373" t="str">
        <f>'Road 1'!A2:K2</f>
        <v>Length of the Road =670 m, ROW 18m</v>
      </c>
      <c r="B3" s="373"/>
      <c r="C3" s="373"/>
      <c r="D3" s="373"/>
      <c r="E3" s="373"/>
      <c r="F3" s="373"/>
      <c r="G3" s="373"/>
      <c r="H3" s="165"/>
      <c r="I3" s="165"/>
      <c r="J3" s="165"/>
      <c r="K3" s="165"/>
      <c r="L3" s="165"/>
      <c r="M3" s="165"/>
    </row>
    <row r="4" spans="1:13" ht="22.5" customHeight="1">
      <c r="A4" s="374" t="s">
        <v>80</v>
      </c>
      <c r="B4" s="374"/>
      <c r="C4" s="374"/>
      <c r="D4" s="374"/>
      <c r="E4" s="374"/>
      <c r="F4" s="374"/>
      <c r="G4" s="374"/>
      <c r="H4" s="85"/>
      <c r="I4" s="85"/>
      <c r="J4" s="85"/>
      <c r="K4" s="85"/>
      <c r="L4" s="85"/>
      <c r="M4" s="85"/>
    </row>
    <row r="5" spans="1:13" ht="18" customHeight="1">
      <c r="A5" s="166" t="s">
        <v>42</v>
      </c>
      <c r="B5" s="375" t="s">
        <v>81</v>
      </c>
      <c r="C5" s="375"/>
      <c r="D5" s="375"/>
      <c r="E5" s="375"/>
      <c r="F5" s="167" t="s">
        <v>82</v>
      </c>
      <c r="G5" s="166" t="s">
        <v>83</v>
      </c>
      <c r="H5" s="168"/>
      <c r="I5" s="168"/>
      <c r="J5" s="168"/>
      <c r="K5" s="168"/>
      <c r="L5" s="168"/>
      <c r="M5" s="168"/>
    </row>
    <row r="6" spans="1:13" ht="21.75" customHeight="1">
      <c r="A6" s="169">
        <v>1</v>
      </c>
      <c r="B6" s="376" t="s">
        <v>116</v>
      </c>
      <c r="C6" s="376"/>
      <c r="D6" s="376"/>
      <c r="E6" s="377"/>
      <c r="F6" s="170">
        <f>'Road 1'!K72</f>
        <v>5043346.028999999</v>
      </c>
      <c r="G6" s="170">
        <f>F6</f>
        <v>5043346.028999999</v>
      </c>
      <c r="H6" s="85"/>
      <c r="I6" s="85"/>
      <c r="J6" s="85"/>
      <c r="K6" s="85"/>
      <c r="L6" s="85"/>
      <c r="M6" s="85"/>
    </row>
    <row r="7" spans="1:13" ht="21.75" customHeight="1">
      <c r="A7" s="169">
        <v>2</v>
      </c>
      <c r="B7" s="378" t="s">
        <v>84</v>
      </c>
      <c r="C7" s="379"/>
      <c r="D7" s="379"/>
      <c r="E7" s="380"/>
      <c r="F7" s="170">
        <f>Drain!K117</f>
        <v>26864386</v>
      </c>
      <c r="G7" s="170">
        <f>F7</f>
        <v>26864386</v>
      </c>
      <c r="H7" s="85"/>
      <c r="I7" s="85"/>
      <c r="J7" s="85"/>
      <c r="K7" s="85"/>
      <c r="L7" s="85"/>
      <c r="M7" s="85"/>
    </row>
    <row r="8" spans="1:13" ht="21.75" customHeight="1">
      <c r="A8" s="169">
        <v>3</v>
      </c>
      <c r="B8" s="378" t="s">
        <v>121</v>
      </c>
      <c r="C8" s="379"/>
      <c r="D8" s="379"/>
      <c r="E8" s="379"/>
      <c r="F8" s="170">
        <f>Footpath!K37</f>
        <v>3733351.488</v>
      </c>
      <c r="G8" s="170">
        <f>F8</f>
        <v>3733351.488</v>
      </c>
      <c r="H8" s="85"/>
      <c r="I8" s="85"/>
      <c r="J8" s="85"/>
      <c r="K8" s="85"/>
      <c r="L8" s="85"/>
      <c r="M8" s="85"/>
    </row>
    <row r="9" spans="1:7" ht="18" customHeight="1">
      <c r="A9" s="171"/>
      <c r="B9" s="381" t="s">
        <v>2</v>
      </c>
      <c r="C9" s="381"/>
      <c r="D9" s="381"/>
      <c r="E9" s="381"/>
      <c r="F9" s="381"/>
      <c r="G9" s="172">
        <f>SUM(G6:G8)</f>
        <v>35641083.517</v>
      </c>
    </row>
    <row r="10" spans="1:7" ht="18" customHeight="1">
      <c r="A10" s="16"/>
      <c r="B10" s="173"/>
      <c r="C10" s="173"/>
      <c r="D10" s="173"/>
      <c r="E10" s="173"/>
      <c r="F10" s="173"/>
      <c r="G10" s="175"/>
    </row>
    <row r="11" spans="1:7" ht="18" customHeight="1">
      <c r="A11" s="16"/>
      <c r="B11" s="173"/>
      <c r="C11" s="173"/>
      <c r="D11" s="173"/>
      <c r="E11" s="173"/>
      <c r="F11" s="173"/>
      <c r="G11" s="175"/>
    </row>
    <row r="12" spans="1:7" ht="18" customHeight="1">
      <c r="A12" s="16"/>
      <c r="B12" s="173"/>
      <c r="C12" s="173"/>
      <c r="D12" s="173"/>
      <c r="E12" s="173"/>
      <c r="F12" s="173"/>
      <c r="G12" s="175"/>
    </row>
    <row r="13" spans="1:7" ht="18" customHeight="1">
      <c r="A13" s="16"/>
      <c r="B13" s="173"/>
      <c r="C13" s="173"/>
      <c r="D13" s="173"/>
      <c r="E13" s="173"/>
      <c r="F13" s="173"/>
      <c r="G13" s="175"/>
    </row>
    <row r="14" spans="1:7" ht="18" customHeight="1">
      <c r="A14" s="16"/>
      <c r="B14" s="173"/>
      <c r="C14" s="173"/>
      <c r="D14" s="173"/>
      <c r="E14" s="173"/>
      <c r="F14" s="173"/>
      <c r="G14" s="175"/>
    </row>
    <row r="15" spans="1:7" ht="18" customHeight="1">
      <c r="A15" s="16"/>
      <c r="B15" s="173"/>
      <c r="C15" s="173"/>
      <c r="D15" s="173"/>
      <c r="E15" s="173"/>
      <c r="F15" s="173"/>
      <c r="G15" s="175"/>
    </row>
    <row r="16" spans="1:7" ht="18" customHeight="1">
      <c r="A16" s="16"/>
      <c r="B16" s="173"/>
      <c r="C16" s="173"/>
      <c r="D16" s="173"/>
      <c r="E16" s="173"/>
      <c r="F16" s="173"/>
      <c r="G16" s="175"/>
    </row>
    <row r="17" spans="1:7" ht="18" customHeight="1">
      <c r="A17" s="16"/>
      <c r="B17" s="173"/>
      <c r="C17" s="173"/>
      <c r="D17" s="173"/>
      <c r="E17" s="173"/>
      <c r="F17" s="173"/>
      <c r="G17" s="175"/>
    </row>
    <row r="18" spans="1:7" ht="18" customHeight="1">
      <c r="A18" s="16"/>
      <c r="B18" s="173"/>
      <c r="C18" s="173"/>
      <c r="D18" s="173"/>
      <c r="E18" s="173"/>
      <c r="F18" s="173"/>
      <c r="G18" s="175"/>
    </row>
    <row r="19" spans="1:7" ht="18" customHeight="1">
      <c r="A19" s="16"/>
      <c r="B19" s="173"/>
      <c r="C19" s="173"/>
      <c r="D19" s="173"/>
      <c r="E19" s="173"/>
      <c r="F19" s="173"/>
      <c r="G19" s="175"/>
    </row>
    <row r="20" spans="1:7" ht="18" customHeight="1">
      <c r="A20" s="16"/>
      <c r="B20" s="173"/>
      <c r="C20" s="173"/>
      <c r="D20" s="173"/>
      <c r="E20" s="173"/>
      <c r="F20" s="173"/>
      <c r="G20" s="175"/>
    </row>
    <row r="21" spans="1:7" ht="18" customHeight="1">
      <c r="A21" s="16"/>
      <c r="B21" s="173"/>
      <c r="C21" s="173"/>
      <c r="D21" s="173"/>
      <c r="E21" s="173"/>
      <c r="F21" s="173"/>
      <c r="G21" s="175"/>
    </row>
    <row r="22" spans="1:7" ht="18" customHeight="1">
      <c r="A22" s="16"/>
      <c r="B22" s="173"/>
      <c r="C22" s="173"/>
      <c r="D22" s="173"/>
      <c r="E22" s="173"/>
      <c r="F22" s="173"/>
      <c r="G22" s="175"/>
    </row>
    <row r="23" spans="1:7" ht="18" customHeight="1">
      <c r="A23" s="16"/>
      <c r="B23" s="173"/>
      <c r="C23" s="173"/>
      <c r="D23" s="173"/>
      <c r="E23" s="173"/>
      <c r="F23" s="173"/>
      <c r="G23" s="175"/>
    </row>
    <row r="24" spans="1:7" ht="18" customHeight="1">
      <c r="A24" s="16"/>
      <c r="B24" s="173"/>
      <c r="C24" s="173"/>
      <c r="D24" s="173"/>
      <c r="E24" s="173"/>
      <c r="F24" s="173"/>
      <c r="G24" s="175"/>
    </row>
    <row r="25" spans="1:7" ht="18" customHeight="1">
      <c r="A25" s="16"/>
      <c r="B25" s="173"/>
      <c r="C25" s="173"/>
      <c r="D25" s="173"/>
      <c r="E25" s="173"/>
      <c r="F25" s="173"/>
      <c r="G25" s="175"/>
    </row>
    <row r="26" spans="1:8" ht="18" customHeight="1">
      <c r="A26" s="382"/>
      <c r="B26" s="382"/>
      <c r="C26" s="382"/>
      <c r="D26" s="382"/>
      <c r="E26" s="60"/>
      <c r="F26" s="383"/>
      <c r="G26" s="383"/>
      <c r="H26" s="174"/>
    </row>
    <row r="27" spans="1:8" ht="18" customHeight="1">
      <c r="A27" s="382"/>
      <c r="B27" s="382"/>
      <c r="C27" s="382"/>
      <c r="D27" s="382"/>
      <c r="E27" s="60"/>
      <c r="F27" s="382"/>
      <c r="G27" s="382"/>
      <c r="H27" s="59"/>
    </row>
    <row r="28" spans="1:7" ht="18" customHeight="1">
      <c r="A28" s="16"/>
      <c r="B28" s="173"/>
      <c r="C28" s="173"/>
      <c r="D28" s="173"/>
      <c r="E28" s="173"/>
      <c r="F28" s="173"/>
      <c r="G28" s="175"/>
    </row>
    <row r="29" spans="1:7" ht="18" customHeight="1">
      <c r="A29" s="16"/>
      <c r="B29" s="173"/>
      <c r="C29" s="173"/>
      <c r="D29" s="173"/>
      <c r="E29" s="173"/>
      <c r="F29" s="173"/>
      <c r="G29" s="175"/>
    </row>
    <row r="30" spans="1:7" ht="18" customHeight="1">
      <c r="A30" s="16"/>
      <c r="B30" s="173"/>
      <c r="C30" s="173"/>
      <c r="D30" s="173"/>
      <c r="E30" s="173"/>
      <c r="F30" s="173"/>
      <c r="G30" s="175"/>
    </row>
    <row r="31" spans="1:7" ht="18" customHeight="1">
      <c r="A31" s="16"/>
      <c r="B31" s="173"/>
      <c r="C31" s="173"/>
      <c r="D31" s="173"/>
      <c r="E31" s="173"/>
      <c r="F31" s="173"/>
      <c r="G31" s="175"/>
    </row>
    <row r="32" spans="1:7" ht="18" customHeight="1">
      <c r="A32" s="16"/>
      <c r="B32" s="173"/>
      <c r="C32" s="173"/>
      <c r="D32" s="173"/>
      <c r="E32" s="173"/>
      <c r="F32" s="173"/>
      <c r="G32" s="175"/>
    </row>
    <row r="33" spans="1:7" ht="18" customHeight="1">
      <c r="A33" s="16"/>
      <c r="B33" s="173"/>
      <c r="C33" s="173"/>
      <c r="D33" s="173"/>
      <c r="E33" s="173"/>
      <c r="F33" s="173"/>
      <c r="G33" s="175"/>
    </row>
    <row r="34" spans="1:7" ht="18" customHeight="1">
      <c r="A34" s="16"/>
      <c r="B34" s="173"/>
      <c r="C34" s="173"/>
      <c r="D34" s="173"/>
      <c r="E34" s="173"/>
      <c r="F34" s="173"/>
      <c r="G34" s="175"/>
    </row>
    <row r="35" spans="1:7" ht="18" customHeight="1">
      <c r="A35" s="16"/>
      <c r="B35" s="173"/>
      <c r="C35" s="173"/>
      <c r="D35" s="173"/>
      <c r="E35" s="173"/>
      <c r="F35" s="173"/>
      <c r="G35" s="175"/>
    </row>
    <row r="36" spans="1:7" ht="18" customHeight="1">
      <c r="A36" s="16"/>
      <c r="B36" s="173"/>
      <c r="C36" s="173"/>
      <c r="D36" s="173"/>
      <c r="E36" s="173"/>
      <c r="F36" s="173"/>
      <c r="G36" s="175"/>
    </row>
    <row r="37" spans="1:7" ht="18" customHeight="1">
      <c r="A37" s="16"/>
      <c r="B37" s="173"/>
      <c r="C37" s="173"/>
      <c r="D37" s="173"/>
      <c r="E37" s="173"/>
      <c r="F37" s="173"/>
      <c r="G37" s="175"/>
    </row>
    <row r="38" spans="1:7" ht="18" customHeight="1">
      <c r="A38" s="16"/>
      <c r="B38" s="173"/>
      <c r="C38" s="173"/>
      <c r="D38" s="173"/>
      <c r="E38" s="173"/>
      <c r="F38" s="173"/>
      <c r="G38" s="175"/>
    </row>
    <row r="39" spans="1:7" ht="18" customHeight="1">
      <c r="A39" s="16"/>
      <c r="B39" s="16"/>
      <c r="C39" s="16"/>
      <c r="D39" s="176"/>
      <c r="E39" s="16"/>
      <c r="F39" s="16"/>
      <c r="G39" s="16"/>
    </row>
    <row r="40" spans="1:7" ht="65.25" customHeight="1">
      <c r="A40" s="384" t="s">
        <v>85</v>
      </c>
      <c r="B40" s="384"/>
      <c r="C40" s="384"/>
      <c r="D40" s="384"/>
      <c r="E40" s="384"/>
      <c r="F40" s="384"/>
      <c r="G40" s="384"/>
    </row>
    <row r="41" spans="1:13" s="85" customFormat="1" ht="18" customHeight="1">
      <c r="A41" s="65" t="s">
        <v>86</v>
      </c>
      <c r="B41" s="177"/>
      <c r="C41" s="177"/>
      <c r="D41" s="177"/>
      <c r="E41" s="177"/>
      <c r="F41" s="177"/>
      <c r="G41" s="177"/>
      <c r="H41" s="178"/>
      <c r="I41" s="178"/>
      <c r="J41" s="178"/>
      <c r="K41" s="178"/>
      <c r="L41" s="178"/>
      <c r="M41" s="178"/>
    </row>
    <row r="42" spans="1:13" s="85" customFormat="1" ht="18" customHeight="1">
      <c r="A42" s="25">
        <v>1</v>
      </c>
      <c r="B42" s="179" t="s">
        <v>87</v>
      </c>
      <c r="C42" s="179"/>
      <c r="D42" s="180" t="s">
        <v>88</v>
      </c>
      <c r="E42" s="369" t="s">
        <v>89</v>
      </c>
      <c r="F42" s="370"/>
      <c r="G42" s="371"/>
      <c r="H42" s="165"/>
      <c r="I42" s="165"/>
      <c r="J42" s="165"/>
      <c r="K42" s="165"/>
      <c r="L42" s="165"/>
      <c r="M42" s="165"/>
    </row>
    <row r="43" spans="1:13" s="168" customFormat="1" ht="18" customHeight="1">
      <c r="A43" s="25">
        <v>2</v>
      </c>
      <c r="B43" s="179" t="s">
        <v>90</v>
      </c>
      <c r="C43" s="179"/>
      <c r="D43" s="180" t="s">
        <v>88</v>
      </c>
      <c r="E43" s="369" t="s">
        <v>91</v>
      </c>
      <c r="F43" s="370"/>
      <c r="G43" s="371"/>
      <c r="H43" s="165"/>
      <c r="I43" s="165"/>
      <c r="J43" s="165"/>
      <c r="K43" s="165"/>
      <c r="L43" s="165"/>
      <c r="M43" s="165"/>
    </row>
    <row r="44" spans="1:7" ht="18" customHeight="1">
      <c r="A44" s="25">
        <v>3</v>
      </c>
      <c r="B44" s="388" t="s">
        <v>92</v>
      </c>
      <c r="C44" s="386"/>
      <c r="D44" s="180" t="s">
        <v>88</v>
      </c>
      <c r="E44" s="385" t="s">
        <v>93</v>
      </c>
      <c r="F44" s="387"/>
      <c r="G44" s="386"/>
    </row>
    <row r="45" spans="1:13" s="85" customFormat="1" ht="18" customHeight="1">
      <c r="A45" s="25">
        <v>4</v>
      </c>
      <c r="B45" s="179" t="s">
        <v>94</v>
      </c>
      <c r="C45" s="179"/>
      <c r="D45" s="180" t="s">
        <v>88</v>
      </c>
      <c r="E45" s="179" t="s">
        <v>95</v>
      </c>
      <c r="F45" s="179"/>
      <c r="G45" s="179"/>
      <c r="H45" s="165"/>
      <c r="I45" s="165"/>
      <c r="J45" s="165"/>
      <c r="K45" s="165"/>
      <c r="L45" s="165"/>
      <c r="M45" s="165"/>
    </row>
    <row r="46" spans="1:7" ht="30" customHeight="1">
      <c r="A46" s="25">
        <v>5</v>
      </c>
      <c r="B46" s="388" t="s">
        <v>96</v>
      </c>
      <c r="C46" s="386"/>
      <c r="D46" s="180" t="s">
        <v>88</v>
      </c>
      <c r="E46" s="389" t="s">
        <v>97</v>
      </c>
      <c r="F46" s="392"/>
      <c r="G46" s="393"/>
    </row>
    <row r="47" spans="1:7" ht="18" customHeight="1">
      <c r="A47" s="25">
        <v>6</v>
      </c>
      <c r="B47" s="385" t="s">
        <v>98</v>
      </c>
      <c r="C47" s="386"/>
      <c r="D47" s="180" t="s">
        <v>88</v>
      </c>
      <c r="E47" s="385" t="s">
        <v>99</v>
      </c>
      <c r="F47" s="387"/>
      <c r="G47" s="386"/>
    </row>
    <row r="48" spans="1:7" ht="18" customHeight="1">
      <c r="A48" s="25">
        <v>7</v>
      </c>
      <c r="B48" s="385" t="s">
        <v>100</v>
      </c>
      <c r="C48" s="386"/>
      <c r="D48" s="180" t="s">
        <v>88</v>
      </c>
      <c r="E48" s="385" t="s">
        <v>101</v>
      </c>
      <c r="F48" s="387"/>
      <c r="G48" s="386"/>
    </row>
    <row r="49" spans="1:7" ht="18" customHeight="1">
      <c r="A49" s="25">
        <v>8</v>
      </c>
      <c r="B49" s="181" t="s">
        <v>102</v>
      </c>
      <c r="C49" s="181"/>
      <c r="D49" s="180" t="s">
        <v>88</v>
      </c>
      <c r="E49" s="388" t="s">
        <v>103</v>
      </c>
      <c r="F49" s="387"/>
      <c r="G49" s="386"/>
    </row>
    <row r="50" spans="1:7" ht="23.25" customHeight="1">
      <c r="A50" s="25">
        <v>9</v>
      </c>
      <c r="B50" s="181" t="s">
        <v>104</v>
      </c>
      <c r="C50" s="181"/>
      <c r="D50" s="180" t="s">
        <v>88</v>
      </c>
      <c r="E50" s="389" t="s">
        <v>105</v>
      </c>
      <c r="F50" s="390"/>
      <c r="G50" s="391"/>
    </row>
    <row r="51" spans="1:7" ht="15">
      <c r="A51" s="182"/>
      <c r="B51" s="161"/>
      <c r="C51" s="161"/>
      <c r="D51" s="183"/>
      <c r="E51" s="161"/>
      <c r="F51" s="161"/>
      <c r="G51" s="162"/>
    </row>
    <row r="61" spans="1:7" ht="15">
      <c r="A61" s="16"/>
      <c r="B61" s="16"/>
      <c r="C61" s="16"/>
      <c r="D61" s="176"/>
      <c r="E61" s="16"/>
      <c r="F61" s="16"/>
      <c r="G61" s="16"/>
    </row>
    <row r="62" spans="1:7" ht="15">
      <c r="A62" s="16"/>
      <c r="B62" s="16"/>
      <c r="C62" s="16"/>
      <c r="D62" s="176"/>
      <c r="E62" s="16"/>
      <c r="F62" s="16"/>
      <c r="G62" s="16"/>
    </row>
    <row r="63" spans="1:7" ht="15">
      <c r="A63" s="16"/>
      <c r="B63" s="16"/>
      <c r="C63" s="16"/>
      <c r="D63" s="176"/>
      <c r="E63" s="16"/>
      <c r="F63" s="16"/>
      <c r="G63" s="16"/>
    </row>
    <row r="64" spans="1:7" ht="15">
      <c r="A64" s="16"/>
      <c r="B64" s="16"/>
      <c r="C64" s="16"/>
      <c r="D64" s="176"/>
      <c r="E64" s="16"/>
      <c r="F64" s="16"/>
      <c r="G64" s="16"/>
    </row>
    <row r="65" spans="1:7" ht="15">
      <c r="A65" s="16"/>
      <c r="B65" s="16"/>
      <c r="C65" s="16"/>
      <c r="D65" s="176"/>
      <c r="E65" s="16"/>
      <c r="F65" s="16"/>
      <c r="G65" s="16"/>
    </row>
    <row r="66" spans="1:7" ht="15">
      <c r="A66" s="16"/>
      <c r="B66" s="16"/>
      <c r="C66" s="16"/>
      <c r="D66" s="176"/>
      <c r="E66" s="16"/>
      <c r="F66" s="16"/>
      <c r="G66" s="16"/>
    </row>
    <row r="67" spans="1:7" ht="15">
      <c r="A67" s="16"/>
      <c r="B67" s="16"/>
      <c r="C67" s="16"/>
      <c r="D67" s="176"/>
      <c r="E67" s="16"/>
      <c r="F67" s="16"/>
      <c r="G67" s="16"/>
    </row>
    <row r="68" spans="1:7" ht="15">
      <c r="A68" s="16"/>
      <c r="B68" s="16"/>
      <c r="C68" s="16"/>
      <c r="D68" s="176"/>
      <c r="E68" s="16"/>
      <c r="F68" s="16"/>
      <c r="G68" s="16"/>
    </row>
    <row r="69" spans="1:7" ht="15">
      <c r="A69" s="16"/>
      <c r="B69" s="16"/>
      <c r="C69" s="16"/>
      <c r="D69" s="176"/>
      <c r="E69" s="16"/>
      <c r="F69" s="16"/>
      <c r="G69" s="16"/>
    </row>
    <row r="70" spans="1:7" ht="15">
      <c r="A70" s="16"/>
      <c r="B70" s="16"/>
      <c r="C70" s="16"/>
      <c r="D70" s="176"/>
      <c r="E70" s="16"/>
      <c r="F70" s="16"/>
      <c r="G70" s="16"/>
    </row>
    <row r="71" spans="1:7" ht="15">
      <c r="A71" s="184"/>
      <c r="B71" s="16"/>
      <c r="C71" s="16"/>
      <c r="D71" s="176"/>
      <c r="E71" s="16"/>
      <c r="F71" s="16"/>
      <c r="G71" s="16"/>
    </row>
  </sheetData>
  <sheetProtection/>
  <mergeCells count="26">
    <mergeCell ref="B47:C47"/>
    <mergeCell ref="E47:G47"/>
    <mergeCell ref="B44:C44"/>
    <mergeCell ref="E44:G44"/>
    <mergeCell ref="E49:G49"/>
    <mergeCell ref="E50:G50"/>
    <mergeCell ref="B48:C48"/>
    <mergeCell ref="E48:G48"/>
    <mergeCell ref="B46:C46"/>
    <mergeCell ref="E46:G46"/>
    <mergeCell ref="B9:F9"/>
    <mergeCell ref="A26:D26"/>
    <mergeCell ref="F26:G26"/>
    <mergeCell ref="A27:D27"/>
    <mergeCell ref="F27:G27"/>
    <mergeCell ref="A40:G40"/>
    <mergeCell ref="E42:G42"/>
    <mergeCell ref="E43:G43"/>
    <mergeCell ref="A1:G1"/>
    <mergeCell ref="A2:G2"/>
    <mergeCell ref="A3:G3"/>
    <mergeCell ref="A4:G4"/>
    <mergeCell ref="B5:E5"/>
    <mergeCell ref="B6:E6"/>
    <mergeCell ref="B7:E7"/>
    <mergeCell ref="B8:E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Q72"/>
  <sheetViews>
    <sheetView view="pageBreakPreview" zoomScaleSheetLayoutView="100" zoomScalePageLayoutView="0" workbookViewId="0" topLeftCell="A69">
      <selection activeCell="K72" sqref="K72"/>
    </sheetView>
  </sheetViews>
  <sheetFormatPr defaultColWidth="9.140625" defaultRowHeight="15"/>
  <cols>
    <col min="1" max="1" width="4.00390625" style="9" customWidth="1"/>
    <col min="2" max="2" width="6.57421875" style="9" customWidth="1"/>
    <col min="3" max="3" width="45.00390625" style="28" customWidth="1"/>
    <col min="4" max="4" width="5.140625" style="9" hidden="1" customWidth="1"/>
    <col min="5" max="5" width="7.140625" style="9" hidden="1" customWidth="1"/>
    <col min="6" max="6" width="6.57421875" style="102" hidden="1" customWidth="1"/>
    <col min="7" max="7" width="8.00390625" style="102" hidden="1" customWidth="1"/>
    <col min="8" max="8" width="8.57421875" style="9" bestFit="1" customWidth="1"/>
    <col min="9" max="9" width="8.140625" style="103" bestFit="1" customWidth="1"/>
    <col min="10" max="10" width="7.140625" style="9" bestFit="1" customWidth="1"/>
    <col min="11" max="11" width="9.00390625" style="104" bestFit="1" customWidth="1"/>
    <col min="12" max="12" width="9.140625" style="9" customWidth="1"/>
    <col min="13" max="13" width="11.140625" style="9" bestFit="1" customWidth="1"/>
    <col min="14" max="15" width="10.140625" style="9" bestFit="1" customWidth="1"/>
    <col min="16" max="16384" width="9.140625" style="9" customWidth="1"/>
  </cols>
  <sheetData>
    <row r="1" spans="1:11" ht="26.25" customHeight="1">
      <c r="A1" s="415" t="s">
        <v>200</v>
      </c>
      <c r="B1" s="415"/>
      <c r="C1" s="415"/>
      <c r="D1" s="415"/>
      <c r="E1" s="415"/>
      <c r="F1" s="415"/>
      <c r="G1" s="415"/>
      <c r="H1" s="415"/>
      <c r="I1" s="415"/>
      <c r="J1" s="415"/>
      <c r="K1" s="415"/>
    </row>
    <row r="2" spans="1:11" ht="21" customHeight="1">
      <c r="A2" s="373" t="s">
        <v>217</v>
      </c>
      <c r="B2" s="373"/>
      <c r="C2" s="373"/>
      <c r="D2" s="373"/>
      <c r="E2" s="373"/>
      <c r="F2" s="373"/>
      <c r="G2" s="373"/>
      <c r="H2" s="373"/>
      <c r="I2" s="373"/>
      <c r="J2" s="373"/>
      <c r="K2" s="373"/>
    </row>
    <row r="3" spans="1:11" ht="21" customHeight="1" hidden="1">
      <c r="A3" s="483" t="s">
        <v>56</v>
      </c>
      <c r="B3" s="483"/>
      <c r="C3" s="483"/>
      <c r="D3" s="483"/>
      <c r="E3" s="483"/>
      <c r="F3" s="483"/>
      <c r="G3" s="483"/>
      <c r="H3" s="483"/>
      <c r="I3" s="483"/>
      <c r="J3" s="483"/>
      <c r="K3" s="483"/>
    </row>
    <row r="4" spans="1:11" ht="21" customHeight="1" hidden="1">
      <c r="A4" s="206">
        <v>1</v>
      </c>
      <c r="B4" s="427" t="s">
        <v>125</v>
      </c>
      <c r="C4" s="427"/>
      <c r="D4" s="427"/>
      <c r="E4" s="427"/>
      <c r="F4" s="427"/>
      <c r="G4" s="427"/>
      <c r="H4" s="427"/>
      <c r="I4" s="427"/>
      <c r="J4" s="427"/>
      <c r="K4" s="427"/>
    </row>
    <row r="5" spans="1:11" ht="21" customHeight="1" hidden="1">
      <c r="A5" s="206">
        <v>2</v>
      </c>
      <c r="B5" s="427" t="s">
        <v>130</v>
      </c>
      <c r="C5" s="427"/>
      <c r="D5" s="427"/>
      <c r="E5" s="427"/>
      <c r="F5" s="427"/>
      <c r="G5" s="427"/>
      <c r="H5" s="427"/>
      <c r="I5" s="427"/>
      <c r="J5" s="427"/>
      <c r="K5" s="427"/>
    </row>
    <row r="6" spans="1:11" ht="21" customHeight="1" hidden="1">
      <c r="A6" s="206">
        <v>3</v>
      </c>
      <c r="B6" s="427" t="s">
        <v>215</v>
      </c>
      <c r="C6" s="427"/>
      <c r="D6" s="427"/>
      <c r="E6" s="427"/>
      <c r="F6" s="427"/>
      <c r="G6" s="427"/>
      <c r="H6" s="427"/>
      <c r="I6" s="427"/>
      <c r="J6" s="427"/>
      <c r="K6" s="427"/>
    </row>
    <row r="7" spans="1:11" ht="21" customHeight="1" hidden="1">
      <c r="A7" s="206"/>
      <c r="B7" s="427" t="s">
        <v>216</v>
      </c>
      <c r="C7" s="427"/>
      <c r="D7" s="427"/>
      <c r="E7" s="427"/>
      <c r="F7" s="427"/>
      <c r="G7" s="427"/>
      <c r="H7" s="427"/>
      <c r="I7" s="427"/>
      <c r="J7" s="427"/>
      <c r="K7" s="427"/>
    </row>
    <row r="8" spans="1:11" ht="21" customHeight="1" hidden="1">
      <c r="A8" s="206"/>
      <c r="B8" s="427" t="s">
        <v>131</v>
      </c>
      <c r="C8" s="427"/>
      <c r="D8" s="427"/>
      <c r="E8" s="427"/>
      <c r="F8" s="427"/>
      <c r="G8" s="427"/>
      <c r="H8" s="427"/>
      <c r="I8" s="427"/>
      <c r="J8" s="427"/>
      <c r="K8" s="427"/>
    </row>
    <row r="9" spans="1:11" ht="21" customHeight="1" hidden="1">
      <c r="A9" s="206">
        <v>4</v>
      </c>
      <c r="B9" s="427" t="s">
        <v>123</v>
      </c>
      <c r="C9" s="427"/>
      <c r="D9" s="427"/>
      <c r="E9" s="427"/>
      <c r="F9" s="427"/>
      <c r="G9" s="427"/>
      <c r="H9" s="427"/>
      <c r="I9" s="427"/>
      <c r="J9" s="427"/>
      <c r="K9" s="427"/>
    </row>
    <row r="10" spans="1:11" ht="21" customHeight="1" hidden="1">
      <c r="A10" s="206">
        <v>5</v>
      </c>
      <c r="B10" s="427" t="s">
        <v>124</v>
      </c>
      <c r="C10" s="427"/>
      <c r="D10" s="427"/>
      <c r="E10" s="427"/>
      <c r="F10" s="427"/>
      <c r="G10" s="427"/>
      <c r="H10" s="427"/>
      <c r="I10" s="427"/>
      <c r="J10" s="427"/>
      <c r="K10" s="427"/>
    </row>
    <row r="11" spans="1:11" ht="21" customHeight="1">
      <c r="A11" s="206"/>
      <c r="B11" s="482"/>
      <c r="C11" s="482"/>
      <c r="D11" s="482"/>
      <c r="E11" s="482"/>
      <c r="F11" s="482"/>
      <c r="G11" s="482"/>
      <c r="H11" s="482"/>
      <c r="I11" s="482"/>
      <c r="J11" s="482"/>
      <c r="K11" s="482"/>
    </row>
    <row r="12" spans="1:11" ht="19.5" customHeight="1">
      <c r="A12" s="416" t="s">
        <v>106</v>
      </c>
      <c r="B12" s="417"/>
      <c r="C12" s="417"/>
      <c r="D12" s="417"/>
      <c r="E12" s="417"/>
      <c r="F12" s="417"/>
      <c r="G12" s="417"/>
      <c r="H12" s="417"/>
      <c r="I12" s="417"/>
      <c r="J12" s="417"/>
      <c r="K12" s="418"/>
    </row>
    <row r="13" spans="1:11" ht="15">
      <c r="A13" s="419" t="s">
        <v>42</v>
      </c>
      <c r="B13" s="420" t="s">
        <v>50</v>
      </c>
      <c r="C13" s="419" t="s">
        <v>9</v>
      </c>
      <c r="D13" s="421" t="s">
        <v>10</v>
      </c>
      <c r="E13" s="422"/>
      <c r="F13" s="422"/>
      <c r="G13" s="422"/>
      <c r="H13" s="423"/>
      <c r="I13" s="424" t="s">
        <v>11</v>
      </c>
      <c r="J13" s="426" t="s">
        <v>8</v>
      </c>
      <c r="K13" s="404" t="s">
        <v>3</v>
      </c>
    </row>
    <row r="14" spans="1:11" ht="43.5" customHeight="1">
      <c r="A14" s="419"/>
      <c r="B14" s="420"/>
      <c r="C14" s="419"/>
      <c r="D14" s="200" t="s">
        <v>5</v>
      </c>
      <c r="E14" s="200" t="s">
        <v>12</v>
      </c>
      <c r="F14" s="86" t="s">
        <v>13</v>
      </c>
      <c r="G14" s="86" t="s">
        <v>14</v>
      </c>
      <c r="H14" s="200" t="s">
        <v>4</v>
      </c>
      <c r="I14" s="425"/>
      <c r="J14" s="426"/>
      <c r="K14" s="405"/>
    </row>
    <row r="15" spans="1:11" ht="15" customHeight="1">
      <c r="A15" s="109"/>
      <c r="B15" s="99"/>
      <c r="C15" s="351"/>
      <c r="D15" s="88"/>
      <c r="E15" s="88"/>
      <c r="F15" s="89"/>
      <c r="G15" s="89"/>
      <c r="H15" s="88"/>
      <c r="I15" s="90"/>
      <c r="J15" s="88"/>
      <c r="K15" s="91"/>
    </row>
    <row r="16" spans="1:13" s="23" customFormat="1" ht="25.5">
      <c r="A16" s="77" t="s">
        <v>15</v>
      </c>
      <c r="B16" s="78" t="s">
        <v>44</v>
      </c>
      <c r="C16" s="352" t="s">
        <v>35</v>
      </c>
      <c r="D16" s="428"/>
      <c r="E16" s="430"/>
      <c r="F16" s="432"/>
      <c r="G16" s="406"/>
      <c r="H16" s="408"/>
      <c r="I16" s="409"/>
      <c r="J16" s="411"/>
      <c r="K16" s="413"/>
      <c r="M16" s="24"/>
    </row>
    <row r="17" spans="1:13" ht="79.5" customHeight="1">
      <c r="A17" s="105"/>
      <c r="B17" s="105"/>
      <c r="C17" s="350" t="s">
        <v>30</v>
      </c>
      <c r="D17" s="429"/>
      <c r="E17" s="431"/>
      <c r="F17" s="433"/>
      <c r="G17" s="407"/>
      <c r="H17" s="408"/>
      <c r="I17" s="410"/>
      <c r="J17" s="412"/>
      <c r="K17" s="414"/>
      <c r="M17" s="12"/>
    </row>
    <row r="18" spans="1:11" ht="15" customHeight="1">
      <c r="A18" s="110"/>
      <c r="B18" s="110"/>
      <c r="C18" s="353" t="s">
        <v>134</v>
      </c>
      <c r="D18" s="80"/>
      <c r="E18" s="80"/>
      <c r="F18" s="92"/>
      <c r="G18" s="202" t="s">
        <v>78</v>
      </c>
      <c r="H18" s="82"/>
      <c r="I18" s="94"/>
      <c r="J18" s="95"/>
      <c r="K18" s="96"/>
    </row>
    <row r="19" spans="1:11" ht="15" customHeight="1">
      <c r="A19" s="110"/>
      <c r="B19" s="110"/>
      <c r="C19" s="73" t="s">
        <v>126</v>
      </c>
      <c r="D19" s="80">
        <v>2</v>
      </c>
      <c r="E19" s="80">
        <v>670</v>
      </c>
      <c r="F19" s="92">
        <v>1.3</v>
      </c>
      <c r="G19" s="98">
        <v>0.475</v>
      </c>
      <c r="H19" s="82">
        <f>F19*E19*D19*G19</f>
        <v>827.4499999999999</v>
      </c>
      <c r="I19" s="94"/>
      <c r="J19" s="95"/>
      <c r="K19" s="96"/>
    </row>
    <row r="20" spans="1:13" ht="15">
      <c r="A20" s="110"/>
      <c r="B20" s="110"/>
      <c r="C20" s="73" t="s">
        <v>2</v>
      </c>
      <c r="D20" s="74"/>
      <c r="E20" s="74"/>
      <c r="F20" s="74"/>
      <c r="G20" s="74"/>
      <c r="H20" s="82">
        <f>SUM(H19)</f>
        <v>827.4499999999999</v>
      </c>
      <c r="I20" s="94">
        <v>88.2</v>
      </c>
      <c r="J20" s="95" t="s">
        <v>0</v>
      </c>
      <c r="K20" s="96">
        <f>I20*H20</f>
        <v>72981.09</v>
      </c>
      <c r="M20" s="9">
        <f>(98-(98*10%))</f>
        <v>88.2</v>
      </c>
    </row>
    <row r="21" spans="1:11" ht="15">
      <c r="A21" s="201"/>
      <c r="B21" s="434"/>
      <c r="C21" s="435"/>
      <c r="D21" s="435"/>
      <c r="E21" s="435"/>
      <c r="F21" s="435"/>
      <c r="G21" s="435"/>
      <c r="H21" s="435"/>
      <c r="I21" s="435"/>
      <c r="J21" s="436"/>
      <c r="K21" s="96"/>
    </row>
    <row r="22" spans="1:17" s="17" customFormat="1" ht="24" customHeight="1">
      <c r="A22" s="114">
        <v>4</v>
      </c>
      <c r="B22" s="115" t="s">
        <v>58</v>
      </c>
      <c r="C22" s="354" t="s">
        <v>59</v>
      </c>
      <c r="D22" s="110"/>
      <c r="E22" s="111"/>
      <c r="F22" s="112"/>
      <c r="G22" s="113"/>
      <c r="H22" s="108"/>
      <c r="I22" s="82"/>
      <c r="J22" s="80"/>
      <c r="K22" s="101"/>
      <c r="P22" s="17">
        <v>2.3</v>
      </c>
      <c r="Q22" s="17">
        <f>(3.9)/2</f>
        <v>1.95</v>
      </c>
    </row>
    <row r="23" spans="1:11" s="17" customFormat="1" ht="111" customHeight="1">
      <c r="A23" s="411"/>
      <c r="B23" s="411"/>
      <c r="C23" s="355" t="s">
        <v>60</v>
      </c>
      <c r="D23" s="110"/>
      <c r="E23" s="111"/>
      <c r="F23" s="112"/>
      <c r="G23" s="113"/>
      <c r="H23" s="108"/>
      <c r="I23" s="82"/>
      <c r="J23" s="80"/>
      <c r="K23" s="101"/>
    </row>
    <row r="24" spans="1:11" s="17" customFormat="1" ht="12" customHeight="1">
      <c r="A24" s="412"/>
      <c r="B24" s="412"/>
      <c r="C24" s="73" t="str">
        <f>C19</f>
        <v>Road Ch. 0 to 670m = 670m</v>
      </c>
      <c r="D24" s="110"/>
      <c r="E24" s="111"/>
      <c r="F24" s="112"/>
      <c r="G24" s="113"/>
      <c r="H24" s="108"/>
      <c r="I24" s="82"/>
      <c r="J24" s="116"/>
      <c r="K24" s="101"/>
    </row>
    <row r="25" spans="1:11" s="17" customFormat="1" ht="12" customHeight="1">
      <c r="A25" s="412"/>
      <c r="B25" s="412"/>
      <c r="C25" s="73" t="s">
        <v>61</v>
      </c>
      <c r="D25" s="107">
        <v>2</v>
      </c>
      <c r="E25" s="107">
        <f>E19</f>
        <v>670</v>
      </c>
      <c r="F25" s="207">
        <v>1.3</v>
      </c>
      <c r="G25" s="208">
        <v>0.25</v>
      </c>
      <c r="H25" s="160">
        <f>G25*F25*E25*D25</f>
        <v>435.5</v>
      </c>
      <c r="I25" s="82"/>
      <c r="J25" s="116"/>
      <c r="K25" s="101"/>
    </row>
    <row r="26" spans="1:14" s="17" customFormat="1" ht="12" customHeight="1">
      <c r="A26" s="449"/>
      <c r="B26" s="449"/>
      <c r="C26" s="437" t="s">
        <v>2</v>
      </c>
      <c r="D26" s="438"/>
      <c r="E26" s="438"/>
      <c r="F26" s="438"/>
      <c r="G26" s="439"/>
      <c r="H26" s="160">
        <f>SUM(H25:H25)</f>
        <v>435.5</v>
      </c>
      <c r="I26" s="82">
        <v>749.7</v>
      </c>
      <c r="J26" s="116" t="s">
        <v>0</v>
      </c>
      <c r="K26" s="101">
        <f>H26*I26</f>
        <v>326494.35000000003</v>
      </c>
      <c r="N26" s="17">
        <f>(833-(833*10%))</f>
        <v>749.7</v>
      </c>
    </row>
    <row r="27" spans="1:11" s="120" customFormat="1" ht="15">
      <c r="A27" s="117"/>
      <c r="B27" s="118"/>
      <c r="C27" s="349"/>
      <c r="D27" s="118"/>
      <c r="E27" s="118"/>
      <c r="F27" s="118"/>
      <c r="G27" s="118"/>
      <c r="H27" s="118"/>
      <c r="I27" s="118"/>
      <c r="J27" s="118"/>
      <c r="K27" s="119"/>
    </row>
    <row r="28" spans="1:11" s="120" customFormat="1" ht="15">
      <c r="A28" s="440">
        <v>5</v>
      </c>
      <c r="B28" s="443" t="s">
        <v>45</v>
      </c>
      <c r="C28" s="322" t="s">
        <v>62</v>
      </c>
      <c r="D28" s="121"/>
      <c r="E28" s="122"/>
      <c r="F28" s="123"/>
      <c r="G28" s="124"/>
      <c r="H28" s="125"/>
      <c r="I28" s="126"/>
      <c r="J28" s="124"/>
      <c r="K28" s="127"/>
    </row>
    <row r="29" spans="1:11" s="120" customFormat="1" ht="121.5" customHeight="1">
      <c r="A29" s="441"/>
      <c r="B29" s="444"/>
      <c r="C29" s="338" t="s">
        <v>63</v>
      </c>
      <c r="D29" s="121"/>
      <c r="E29" s="122"/>
      <c r="F29" s="123"/>
      <c r="G29" s="124"/>
      <c r="H29" s="124"/>
      <c r="I29" s="446">
        <v>855.9</v>
      </c>
      <c r="J29" s="453" t="s">
        <v>0</v>
      </c>
      <c r="K29" s="450">
        <f>I29*H32</f>
        <v>335470.005</v>
      </c>
    </row>
    <row r="30" spans="1:11" s="120" customFormat="1" ht="15">
      <c r="A30" s="441"/>
      <c r="B30" s="444"/>
      <c r="C30" s="332"/>
      <c r="D30" s="121"/>
      <c r="E30" s="122"/>
      <c r="F30" s="128"/>
      <c r="G30" s="124"/>
      <c r="H30" s="124"/>
      <c r="I30" s="447"/>
      <c r="J30" s="454"/>
      <c r="K30" s="451"/>
    </row>
    <row r="31" spans="1:11" s="120" customFormat="1" ht="15" customHeight="1">
      <c r="A31" s="441"/>
      <c r="B31" s="444"/>
      <c r="C31" s="332" t="str">
        <f>C24</f>
        <v>Road Ch. 0 to 670m = 670m</v>
      </c>
      <c r="D31" s="129">
        <v>2</v>
      </c>
      <c r="E31" s="130">
        <f>E19</f>
        <v>670</v>
      </c>
      <c r="F31" s="131">
        <v>1.3</v>
      </c>
      <c r="G31" s="132">
        <v>0.225</v>
      </c>
      <c r="H31" s="133">
        <f>G31*F31*E31*D31</f>
        <v>391.95000000000005</v>
      </c>
      <c r="I31" s="447"/>
      <c r="J31" s="454"/>
      <c r="K31" s="451"/>
    </row>
    <row r="32" spans="1:13" s="120" customFormat="1" ht="15" customHeight="1">
      <c r="A32" s="442"/>
      <c r="B32" s="445"/>
      <c r="C32" s="325" t="s">
        <v>57</v>
      </c>
      <c r="D32" s="134"/>
      <c r="E32" s="130"/>
      <c r="F32" s="130"/>
      <c r="G32" s="134"/>
      <c r="H32" s="133">
        <f>SUM(H31:H31)</f>
        <v>391.95000000000005</v>
      </c>
      <c r="I32" s="448"/>
      <c r="J32" s="455"/>
      <c r="K32" s="452"/>
      <c r="M32" s="120">
        <f>(951-(951*10%))</f>
        <v>855.9</v>
      </c>
    </row>
    <row r="33" spans="1:11" s="120" customFormat="1" ht="15">
      <c r="A33" s="117"/>
      <c r="B33" s="118"/>
      <c r="C33" s="349"/>
      <c r="D33" s="118"/>
      <c r="E33" s="118"/>
      <c r="F33" s="118"/>
      <c r="G33" s="118"/>
      <c r="H33" s="118"/>
      <c r="I33" s="118"/>
      <c r="J33" s="118"/>
      <c r="K33" s="119"/>
    </row>
    <row r="34" spans="1:11" s="120" customFormat="1" ht="15">
      <c r="A34" s="117"/>
      <c r="B34" s="401"/>
      <c r="C34" s="402"/>
      <c r="D34" s="402"/>
      <c r="E34" s="402"/>
      <c r="F34" s="402"/>
      <c r="G34" s="402"/>
      <c r="H34" s="402"/>
      <c r="I34" s="402"/>
      <c r="J34" s="403"/>
      <c r="K34" s="119"/>
    </row>
    <row r="35" spans="1:11" s="120" customFormat="1" ht="15">
      <c r="A35" s="443" t="s">
        <v>18</v>
      </c>
      <c r="B35" s="443" t="s">
        <v>64</v>
      </c>
      <c r="C35" s="322" t="s">
        <v>65</v>
      </c>
      <c r="D35" s="129"/>
      <c r="E35" s="131"/>
      <c r="F35" s="135"/>
      <c r="G35" s="136"/>
      <c r="H35" s="137"/>
      <c r="I35" s="138"/>
      <c r="J35" s="139"/>
      <c r="K35" s="119"/>
    </row>
    <row r="36" spans="1:11" s="120" customFormat="1" ht="105.75" customHeight="1">
      <c r="A36" s="444"/>
      <c r="B36" s="444"/>
      <c r="C36" s="338" t="s">
        <v>66</v>
      </c>
      <c r="D36" s="129"/>
      <c r="E36" s="131"/>
      <c r="F36" s="135"/>
      <c r="G36" s="136"/>
      <c r="H36" s="137"/>
      <c r="I36" s="143"/>
      <c r="J36" s="144"/>
      <c r="K36" s="145"/>
    </row>
    <row r="37" spans="1:11" s="120" customFormat="1" ht="15" customHeight="1">
      <c r="A37" s="444"/>
      <c r="B37" s="444"/>
      <c r="C37" s="332" t="str">
        <f>C31</f>
        <v>Road Ch. 0 to 670m = 670m</v>
      </c>
      <c r="D37" s="141">
        <v>1</v>
      </c>
      <c r="E37" s="130">
        <f>E19</f>
        <v>670</v>
      </c>
      <c r="F37" s="140">
        <v>9.6</v>
      </c>
      <c r="G37" s="141"/>
      <c r="H37" s="142">
        <f>F37*E37*D37</f>
        <v>6432</v>
      </c>
      <c r="I37" s="143"/>
      <c r="J37" s="144"/>
      <c r="K37" s="145"/>
    </row>
    <row r="38" spans="1:11" s="120" customFormat="1" ht="12.75" customHeight="1">
      <c r="A38" s="445"/>
      <c r="B38" s="445"/>
      <c r="C38" s="456" t="s">
        <v>57</v>
      </c>
      <c r="D38" s="457"/>
      <c r="E38" s="457"/>
      <c r="F38" s="457"/>
      <c r="G38" s="458"/>
      <c r="H38" s="142">
        <f>SUM(H37)</f>
        <v>6432</v>
      </c>
      <c r="I38" s="138">
        <v>8.1</v>
      </c>
      <c r="J38" s="139" t="s">
        <v>1</v>
      </c>
      <c r="K38" s="119">
        <f>H38*I38</f>
        <v>52099.2</v>
      </c>
    </row>
    <row r="39" spans="1:11" s="120" customFormat="1" ht="15">
      <c r="A39" s="117"/>
      <c r="B39" s="118"/>
      <c r="C39" s="349"/>
      <c r="D39" s="118"/>
      <c r="E39" s="118"/>
      <c r="F39" s="118"/>
      <c r="G39" s="118"/>
      <c r="H39" s="118"/>
      <c r="I39" s="118"/>
      <c r="J39" s="118"/>
      <c r="K39" s="119"/>
    </row>
    <row r="40" spans="1:11" s="120" customFormat="1" ht="15" customHeight="1">
      <c r="A40" s="459" t="s">
        <v>21</v>
      </c>
      <c r="B40" s="443" t="s">
        <v>115</v>
      </c>
      <c r="C40" s="322" t="s">
        <v>67</v>
      </c>
      <c r="D40" s="129"/>
      <c r="E40" s="131"/>
      <c r="F40" s="135"/>
      <c r="G40" s="136"/>
      <c r="H40" s="137"/>
      <c r="I40" s="138"/>
      <c r="J40" s="139"/>
      <c r="K40" s="119"/>
    </row>
    <row r="41" spans="1:11" s="120" customFormat="1" ht="204.75" customHeight="1">
      <c r="A41" s="460"/>
      <c r="B41" s="444"/>
      <c r="C41" s="338" t="s">
        <v>114</v>
      </c>
      <c r="D41" s="129"/>
      <c r="E41" s="131"/>
      <c r="F41" s="135"/>
      <c r="G41" s="136"/>
      <c r="H41" s="137"/>
      <c r="I41" s="143"/>
      <c r="J41" s="144"/>
      <c r="K41" s="145"/>
    </row>
    <row r="42" spans="1:11" s="120" customFormat="1" ht="15" customHeight="1">
      <c r="A42" s="460"/>
      <c r="B42" s="444"/>
      <c r="C42" s="332" t="str">
        <f>C37</f>
        <v>Road Ch. 0 to 670m = 670m</v>
      </c>
      <c r="D42" s="129">
        <v>1</v>
      </c>
      <c r="E42" s="130">
        <f>E19</f>
        <v>670</v>
      </c>
      <c r="F42" s="146">
        <f>F37</f>
        <v>9.6</v>
      </c>
      <c r="G42" s="136">
        <v>0.05</v>
      </c>
      <c r="H42" s="147">
        <f>G42*F42*E42*D42</f>
        <v>321.59999999999997</v>
      </c>
      <c r="I42" s="138"/>
      <c r="J42" s="144"/>
      <c r="K42" s="145"/>
    </row>
    <row r="43" spans="1:11" s="120" customFormat="1" ht="13.5" customHeight="1">
      <c r="A43" s="461"/>
      <c r="B43" s="445"/>
      <c r="C43" s="325" t="s">
        <v>57</v>
      </c>
      <c r="D43" s="129"/>
      <c r="E43" s="130"/>
      <c r="F43" s="146"/>
      <c r="G43" s="136"/>
      <c r="H43" s="147">
        <f>SUM(H42:H42)</f>
        <v>321.59999999999997</v>
      </c>
      <c r="I43" s="138">
        <f>(7178-(7178*10%))</f>
        <v>6460.2</v>
      </c>
      <c r="J43" s="139" t="s">
        <v>0</v>
      </c>
      <c r="K43" s="119">
        <f>H43*I43</f>
        <v>2077600.3199999998</v>
      </c>
    </row>
    <row r="44" spans="1:11" s="120" customFormat="1" ht="13.5" customHeight="1">
      <c r="A44" s="117"/>
      <c r="B44" s="118"/>
      <c r="C44" s="349"/>
      <c r="D44" s="118"/>
      <c r="E44" s="118"/>
      <c r="F44" s="118"/>
      <c r="G44" s="118"/>
      <c r="H44" s="118"/>
      <c r="I44" s="118"/>
      <c r="J44" s="118"/>
      <c r="K44" s="119"/>
    </row>
    <row r="45" spans="1:11" s="120" customFormat="1" ht="15" customHeight="1">
      <c r="A45" s="462" t="s">
        <v>22</v>
      </c>
      <c r="B45" s="462" t="s">
        <v>112</v>
      </c>
      <c r="C45" s="322" t="s">
        <v>117</v>
      </c>
      <c r="D45" s="129"/>
      <c r="E45" s="131"/>
      <c r="F45" s="135"/>
      <c r="G45" s="136"/>
      <c r="H45" s="137"/>
      <c r="I45" s="138"/>
      <c r="J45" s="139"/>
      <c r="K45" s="119"/>
    </row>
    <row r="46" spans="1:11" s="120" customFormat="1" ht="169.5" customHeight="1">
      <c r="A46" s="462"/>
      <c r="B46" s="462"/>
      <c r="C46" s="338" t="s">
        <v>111</v>
      </c>
      <c r="D46" s="129"/>
      <c r="E46" s="131"/>
      <c r="F46" s="135"/>
      <c r="G46" s="136"/>
      <c r="H46" s="137"/>
      <c r="I46" s="143"/>
      <c r="J46" s="144"/>
      <c r="K46" s="145"/>
    </row>
    <row r="47" spans="1:11" s="120" customFormat="1" ht="27.75" customHeight="1">
      <c r="A47" s="148"/>
      <c r="B47" s="148"/>
      <c r="C47" s="332" t="s">
        <v>113</v>
      </c>
      <c r="D47" s="129">
        <v>1</v>
      </c>
      <c r="E47" s="130">
        <f>E19</f>
        <v>670</v>
      </c>
      <c r="F47" s="146">
        <f>F42</f>
        <v>9.6</v>
      </c>
      <c r="G47" s="136">
        <v>0.03</v>
      </c>
      <c r="H47" s="147">
        <f>G47*F47*E47*D47</f>
        <v>192.95999999999998</v>
      </c>
      <c r="I47" s="138"/>
      <c r="J47" s="144"/>
      <c r="K47" s="145"/>
    </row>
    <row r="48" spans="1:11" s="120" customFormat="1" ht="15" customHeight="1">
      <c r="A48" s="149"/>
      <c r="B48" s="150"/>
      <c r="C48" s="356" t="s">
        <v>57</v>
      </c>
      <c r="D48" s="134"/>
      <c r="E48" s="130"/>
      <c r="F48" s="131"/>
      <c r="G48" s="132"/>
      <c r="H48" s="147">
        <f>SUM(H47:H47)</f>
        <v>192.95999999999998</v>
      </c>
      <c r="I48" s="151">
        <f>(8226-(8226*10%))</f>
        <v>7403.4</v>
      </c>
      <c r="J48" s="139" t="s">
        <v>0</v>
      </c>
      <c r="K48" s="152">
        <f>H48*I48</f>
        <v>1428560.0639999998</v>
      </c>
    </row>
    <row r="49" spans="1:11" ht="12.75" customHeight="1">
      <c r="A49" s="100"/>
      <c r="B49" s="471"/>
      <c r="C49" s="472"/>
      <c r="D49" s="472"/>
      <c r="E49" s="472"/>
      <c r="F49" s="472"/>
      <c r="G49" s="472"/>
      <c r="H49" s="472"/>
      <c r="I49" s="472"/>
      <c r="J49" s="473"/>
      <c r="K49" s="198"/>
    </row>
    <row r="50" spans="1:11" s="23" customFormat="1" ht="15" customHeight="1">
      <c r="A50" s="77" t="s">
        <v>23</v>
      </c>
      <c r="B50" s="466" t="s">
        <v>46</v>
      </c>
      <c r="C50" s="359" t="s">
        <v>68</v>
      </c>
      <c r="D50" s="106"/>
      <c r="E50" s="107"/>
      <c r="F50" s="107"/>
      <c r="G50" s="107"/>
      <c r="H50" s="108"/>
      <c r="I50" s="107"/>
      <c r="J50" s="107"/>
      <c r="K50" s="154"/>
    </row>
    <row r="51" spans="1:11" ht="181.5" customHeight="1">
      <c r="A51" s="80"/>
      <c r="B51" s="467"/>
      <c r="C51" s="347" t="s">
        <v>69</v>
      </c>
      <c r="D51" s="84"/>
      <c r="E51" s="81"/>
      <c r="F51" s="81"/>
      <c r="G51" s="81"/>
      <c r="H51" s="82"/>
      <c r="I51" s="22"/>
      <c r="J51" s="80"/>
      <c r="K51" s="83"/>
    </row>
    <row r="52" spans="1:11" ht="15">
      <c r="A52" s="100"/>
      <c r="B52" s="80"/>
      <c r="C52" s="74" t="s">
        <v>70</v>
      </c>
      <c r="D52" s="80">
        <v>5</v>
      </c>
      <c r="E52" s="80">
        <f>E19</f>
        <v>670</v>
      </c>
      <c r="F52" s="155">
        <v>0.1</v>
      </c>
      <c r="G52" s="81"/>
      <c r="H52" s="82">
        <f>F52*E52*D52</f>
        <v>335</v>
      </c>
      <c r="I52" s="22"/>
      <c r="J52" s="80"/>
      <c r="K52" s="83"/>
    </row>
    <row r="53" spans="1:11" s="17" customFormat="1" ht="15">
      <c r="A53" s="80"/>
      <c r="B53" s="80"/>
      <c r="C53" s="74" t="s">
        <v>2</v>
      </c>
      <c r="D53" s="80"/>
      <c r="E53" s="80"/>
      <c r="F53" s="80"/>
      <c r="G53" s="80"/>
      <c r="H53" s="82">
        <f>SUM(H52:H52)</f>
        <v>335</v>
      </c>
      <c r="I53" s="80">
        <v>810</v>
      </c>
      <c r="J53" s="80" t="s">
        <v>47</v>
      </c>
      <c r="K53" s="83">
        <f>I53*H53</f>
        <v>271350</v>
      </c>
    </row>
    <row r="54" spans="1:11" ht="15">
      <c r="A54" s="100"/>
      <c r="B54" s="100"/>
      <c r="C54" s="6"/>
      <c r="D54" s="100"/>
      <c r="E54" s="100"/>
      <c r="F54" s="156"/>
      <c r="G54" s="156"/>
      <c r="H54" s="100"/>
      <c r="I54" s="196"/>
      <c r="J54" s="197"/>
      <c r="K54" s="153"/>
    </row>
    <row r="55" spans="1:11" s="23" customFormat="1" ht="25.5" customHeight="1">
      <c r="A55" s="77" t="s">
        <v>118</v>
      </c>
      <c r="B55" s="78" t="s">
        <v>48</v>
      </c>
      <c r="C55" s="359" t="s">
        <v>71</v>
      </c>
      <c r="D55" s="106"/>
      <c r="E55" s="107"/>
      <c r="F55" s="107"/>
      <c r="G55" s="107"/>
      <c r="H55" s="108"/>
      <c r="I55" s="107"/>
      <c r="J55" s="107"/>
      <c r="K55" s="154"/>
    </row>
    <row r="56" spans="1:11" s="23" customFormat="1" ht="147.75" customHeight="1">
      <c r="A56" s="481"/>
      <c r="B56" s="481"/>
      <c r="C56" s="347" t="s">
        <v>72</v>
      </c>
      <c r="D56" s="106"/>
      <c r="E56" s="107"/>
      <c r="F56" s="107"/>
      <c r="G56" s="107"/>
      <c r="H56" s="108"/>
      <c r="I56" s="107"/>
      <c r="J56" s="107"/>
      <c r="K56" s="154"/>
    </row>
    <row r="57" spans="1:11" s="23" customFormat="1" ht="15" customHeight="1">
      <c r="A57" s="481"/>
      <c r="B57" s="481"/>
      <c r="C57" s="357" t="s">
        <v>73</v>
      </c>
      <c r="D57" s="106">
        <v>1</v>
      </c>
      <c r="E57" s="107">
        <f>E19</f>
        <v>670</v>
      </c>
      <c r="F57" s="157">
        <v>0.1</v>
      </c>
      <c r="G57" s="107"/>
      <c r="H57" s="108">
        <f>F57*E57*D57</f>
        <v>67</v>
      </c>
      <c r="I57" s="474" t="s">
        <v>47</v>
      </c>
      <c r="J57" s="408">
        <v>63</v>
      </c>
      <c r="K57" s="475">
        <f>J57*H58</f>
        <v>4221</v>
      </c>
    </row>
    <row r="58" spans="1:11" ht="15" customHeight="1">
      <c r="A58" s="100"/>
      <c r="B58" s="100"/>
      <c r="C58" s="394" t="s">
        <v>2</v>
      </c>
      <c r="D58" s="395"/>
      <c r="E58" s="395"/>
      <c r="F58" s="395"/>
      <c r="G58" s="396"/>
      <c r="H58" s="22">
        <f>SUM(H57:H57)</f>
        <v>67</v>
      </c>
      <c r="I58" s="474"/>
      <c r="J58" s="408"/>
      <c r="K58" s="475"/>
    </row>
    <row r="59" spans="1:13" s="23" customFormat="1" ht="16.5" customHeight="1">
      <c r="A59" s="477" t="s">
        <v>119</v>
      </c>
      <c r="B59" s="478" t="s">
        <v>74</v>
      </c>
      <c r="C59" s="358" t="s">
        <v>34</v>
      </c>
      <c r="D59" s="399"/>
      <c r="E59" s="399"/>
      <c r="F59" s="479"/>
      <c r="G59" s="397"/>
      <c r="H59" s="476"/>
      <c r="I59" s="45"/>
      <c r="J59" s="76"/>
      <c r="K59" s="11"/>
      <c r="M59" s="24"/>
    </row>
    <row r="60" spans="1:13" ht="160.5" customHeight="1">
      <c r="A60" s="477"/>
      <c r="B60" s="478"/>
      <c r="C60" s="347" t="s">
        <v>75</v>
      </c>
      <c r="D60" s="400"/>
      <c r="E60" s="400"/>
      <c r="F60" s="480"/>
      <c r="G60" s="398"/>
      <c r="H60" s="476"/>
      <c r="I60" s="45"/>
      <c r="J60" s="76"/>
      <c r="K60" s="11"/>
      <c r="M60" s="12"/>
    </row>
    <row r="61" spans="1:11" s="23" customFormat="1" ht="27" customHeight="1">
      <c r="A61" s="477"/>
      <c r="B61" s="478"/>
      <c r="C61" s="357"/>
      <c r="D61" s="106">
        <v>45</v>
      </c>
      <c r="E61" s="107"/>
      <c r="F61" s="157"/>
      <c r="G61" s="107"/>
      <c r="H61" s="108">
        <f>D61</f>
        <v>45</v>
      </c>
      <c r="I61" s="474" t="s">
        <v>5</v>
      </c>
      <c r="J61" s="408">
        <f>292-29.2</f>
        <v>262.8</v>
      </c>
      <c r="K61" s="475">
        <f>J61*H62</f>
        <v>11826</v>
      </c>
    </row>
    <row r="62" spans="1:11" ht="15" customHeight="1">
      <c r="A62" s="199"/>
      <c r="B62" s="158"/>
      <c r="C62" s="394" t="s">
        <v>2</v>
      </c>
      <c r="D62" s="395"/>
      <c r="E62" s="395"/>
      <c r="F62" s="395"/>
      <c r="G62" s="396"/>
      <c r="H62" s="22">
        <f>SUM(H61:H61)</f>
        <v>45</v>
      </c>
      <c r="I62" s="474"/>
      <c r="J62" s="408"/>
      <c r="K62" s="475"/>
    </row>
    <row r="63" spans="1:11" ht="15" customHeight="1">
      <c r="A63" s="199"/>
      <c r="B63" s="468"/>
      <c r="C63" s="469"/>
      <c r="D63" s="469"/>
      <c r="E63" s="469"/>
      <c r="F63" s="469"/>
      <c r="G63" s="469"/>
      <c r="H63" s="469"/>
      <c r="I63" s="469"/>
      <c r="J63" s="470"/>
      <c r="K63" s="198"/>
    </row>
    <row r="64" spans="1:13" s="23" customFormat="1" ht="16.5" customHeight="1">
      <c r="A64" s="477" t="s">
        <v>120</v>
      </c>
      <c r="B64" s="478" t="s">
        <v>49</v>
      </c>
      <c r="C64" s="358" t="s">
        <v>76</v>
      </c>
      <c r="D64" s="399"/>
      <c r="E64" s="399"/>
      <c r="F64" s="479"/>
      <c r="G64" s="397"/>
      <c r="H64" s="476"/>
      <c r="I64" s="45"/>
      <c r="J64" s="76"/>
      <c r="K64" s="11"/>
      <c r="M64" s="24"/>
    </row>
    <row r="65" spans="1:13" ht="162" customHeight="1">
      <c r="A65" s="477"/>
      <c r="B65" s="478"/>
      <c r="C65" s="347" t="s">
        <v>77</v>
      </c>
      <c r="D65" s="400"/>
      <c r="E65" s="400"/>
      <c r="F65" s="480"/>
      <c r="G65" s="398"/>
      <c r="H65" s="476"/>
      <c r="I65" s="45"/>
      <c r="J65" s="76"/>
      <c r="K65" s="11"/>
      <c r="M65" s="12"/>
    </row>
    <row r="66" spans="1:11" s="23" customFormat="1" ht="27" customHeight="1">
      <c r="A66" s="477"/>
      <c r="B66" s="478"/>
      <c r="C66" s="357" t="s">
        <v>128</v>
      </c>
      <c r="D66" s="106">
        <v>670</v>
      </c>
      <c r="E66" s="107"/>
      <c r="F66" s="157"/>
      <c r="G66" s="107"/>
      <c r="H66" s="108">
        <f>D66</f>
        <v>670</v>
      </c>
      <c r="I66" s="474" t="s">
        <v>5</v>
      </c>
      <c r="J66" s="408">
        <f>713-71.3</f>
        <v>641.7</v>
      </c>
      <c r="K66" s="475">
        <f>J66*H67</f>
        <v>429939.00000000006</v>
      </c>
    </row>
    <row r="67" spans="1:11" ht="15" customHeight="1">
      <c r="A67" s="199"/>
      <c r="B67" s="158"/>
      <c r="C67" s="394" t="s">
        <v>2</v>
      </c>
      <c r="D67" s="395"/>
      <c r="E67" s="395"/>
      <c r="F67" s="395"/>
      <c r="G67" s="396"/>
      <c r="H67" s="22">
        <f>SUM(H66:H66)</f>
        <v>670</v>
      </c>
      <c r="I67" s="474"/>
      <c r="J67" s="408"/>
      <c r="K67" s="475"/>
    </row>
    <row r="68" spans="1:11" ht="15" customHeight="1">
      <c r="A68" s="199"/>
      <c r="B68" s="203"/>
      <c r="C68" s="204"/>
      <c r="D68" s="204"/>
      <c r="E68" s="204"/>
      <c r="F68" s="204"/>
      <c r="G68" s="204"/>
      <c r="H68" s="204"/>
      <c r="I68" s="204"/>
      <c r="J68" s="205"/>
      <c r="K68" s="198"/>
    </row>
    <row r="69" spans="1:11" ht="25.5" customHeight="1">
      <c r="A69" s="97">
        <v>14</v>
      </c>
      <c r="B69" s="87" t="s">
        <v>51</v>
      </c>
      <c r="C69" s="346" t="s">
        <v>52</v>
      </c>
      <c r="D69" s="80"/>
      <c r="E69" s="79"/>
      <c r="F69" s="92"/>
      <c r="G69" s="92"/>
      <c r="H69" s="82"/>
      <c r="I69" s="82"/>
      <c r="J69" s="100"/>
      <c r="K69" s="101"/>
    </row>
    <row r="70" spans="1:11" ht="87" customHeight="1">
      <c r="A70" s="97"/>
      <c r="B70" s="87"/>
      <c r="C70" s="347" t="s">
        <v>53</v>
      </c>
      <c r="D70" s="80"/>
      <c r="E70" s="79"/>
      <c r="F70" s="92"/>
      <c r="G70" s="92"/>
      <c r="H70" s="82"/>
      <c r="I70" s="82"/>
      <c r="J70" s="100"/>
      <c r="K70" s="101"/>
    </row>
    <row r="71" spans="1:11" ht="43.5" customHeight="1">
      <c r="A71" s="97"/>
      <c r="B71" s="87" t="s">
        <v>54</v>
      </c>
      <c r="C71" s="348" t="s">
        <v>122</v>
      </c>
      <c r="D71" s="79" t="s">
        <v>127</v>
      </c>
      <c r="E71" s="93">
        <v>2.5</v>
      </c>
      <c r="F71" s="92"/>
      <c r="G71" s="92"/>
      <c r="H71" s="82">
        <f>E71*6*5</f>
        <v>75</v>
      </c>
      <c r="I71" s="82">
        <f>486-48.6</f>
        <v>437.4</v>
      </c>
      <c r="J71" s="100" t="s">
        <v>55</v>
      </c>
      <c r="K71" s="101">
        <f>I71*H71</f>
        <v>32805</v>
      </c>
    </row>
    <row r="72" spans="1:11" ht="15">
      <c r="A72" s="199"/>
      <c r="B72" s="158"/>
      <c r="C72" s="463" t="s">
        <v>2</v>
      </c>
      <c r="D72" s="464"/>
      <c r="E72" s="464"/>
      <c r="F72" s="464"/>
      <c r="G72" s="464"/>
      <c r="H72" s="464"/>
      <c r="I72" s="464"/>
      <c r="J72" s="465"/>
      <c r="K72" s="159">
        <f>SUM(K16:K71)</f>
        <v>5043346.028999999</v>
      </c>
    </row>
  </sheetData>
  <sheetProtection/>
  <mergeCells count="76">
    <mergeCell ref="B5:K5"/>
    <mergeCell ref="A3:K3"/>
    <mergeCell ref="B4:K4"/>
    <mergeCell ref="B7:K7"/>
    <mergeCell ref="A56:A57"/>
    <mergeCell ref="B56:B57"/>
    <mergeCell ref="I57:I58"/>
    <mergeCell ref="J57:J58"/>
    <mergeCell ref="B8:K8"/>
    <mergeCell ref="B9:K9"/>
    <mergeCell ref="B10:K10"/>
    <mergeCell ref="B11:K11"/>
    <mergeCell ref="K61:K62"/>
    <mergeCell ref="C62:G62"/>
    <mergeCell ref="K57:K58"/>
    <mergeCell ref="C58:G58"/>
    <mergeCell ref="A59:A61"/>
    <mergeCell ref="B59:B61"/>
    <mergeCell ref="D59:D60"/>
    <mergeCell ref="E59:E60"/>
    <mergeCell ref="F59:F60"/>
    <mergeCell ref="G59:G60"/>
    <mergeCell ref="K66:K67"/>
    <mergeCell ref="H64:H65"/>
    <mergeCell ref="I66:I67"/>
    <mergeCell ref="A64:A66"/>
    <mergeCell ref="B64:B66"/>
    <mergeCell ref="F64:F65"/>
    <mergeCell ref="C72:J72"/>
    <mergeCell ref="B50:B51"/>
    <mergeCell ref="B63:J63"/>
    <mergeCell ref="B49:J49"/>
    <mergeCell ref="I61:I62"/>
    <mergeCell ref="J61:J62"/>
    <mergeCell ref="J66:J67"/>
    <mergeCell ref="H59:H60"/>
    <mergeCell ref="A35:A38"/>
    <mergeCell ref="B35:B38"/>
    <mergeCell ref="C38:G38"/>
    <mergeCell ref="A40:A43"/>
    <mergeCell ref="B40:B43"/>
    <mergeCell ref="A45:A46"/>
    <mergeCell ref="B45:B46"/>
    <mergeCell ref="A28:A32"/>
    <mergeCell ref="B28:B32"/>
    <mergeCell ref="I29:I32"/>
    <mergeCell ref="A23:A26"/>
    <mergeCell ref="B23:B26"/>
    <mergeCell ref="K29:K32"/>
    <mergeCell ref="J29:J32"/>
    <mergeCell ref="B6:K6"/>
    <mergeCell ref="D16:D17"/>
    <mergeCell ref="E16:E17"/>
    <mergeCell ref="F16:F17"/>
    <mergeCell ref="B21:J21"/>
    <mergeCell ref="C26:G26"/>
    <mergeCell ref="K16:K17"/>
    <mergeCell ref="A1:K1"/>
    <mergeCell ref="A2:K2"/>
    <mergeCell ref="A12:K12"/>
    <mergeCell ref="A13:A14"/>
    <mergeCell ref="B13:B14"/>
    <mergeCell ref="C13:C14"/>
    <mergeCell ref="D13:H13"/>
    <mergeCell ref="I13:I14"/>
    <mergeCell ref="J13:J14"/>
    <mergeCell ref="C67:G67"/>
    <mergeCell ref="G64:G65"/>
    <mergeCell ref="E64:E65"/>
    <mergeCell ref="D64:D65"/>
    <mergeCell ref="B34:J34"/>
    <mergeCell ref="K13:K14"/>
    <mergeCell ref="G16:G17"/>
    <mergeCell ref="H16:H17"/>
    <mergeCell ref="I16:I17"/>
    <mergeCell ref="J16:J17"/>
  </mergeCells>
  <printOptions horizontalCentered="1"/>
  <pageMargins left="0.3937007874015748" right="0.3937007874015748"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Q120"/>
  <sheetViews>
    <sheetView view="pageBreakPreview" zoomScaleSheetLayoutView="100" zoomScalePageLayoutView="0" workbookViewId="0" topLeftCell="A109">
      <selection activeCell="K117" sqref="K117"/>
    </sheetView>
  </sheetViews>
  <sheetFormatPr defaultColWidth="9.140625" defaultRowHeight="15"/>
  <cols>
    <col min="1" max="1" width="4.00390625" style="9" customWidth="1"/>
    <col min="2" max="2" width="7.140625" style="9" customWidth="1"/>
    <col min="3" max="3" width="45.28125" style="28" customWidth="1"/>
    <col min="4" max="4" width="7.00390625" style="9" hidden="1" customWidth="1"/>
    <col min="5" max="5" width="6.140625" style="9" hidden="1" customWidth="1"/>
    <col min="6" max="6" width="5.57421875" style="102" hidden="1" customWidth="1"/>
    <col min="7" max="7" width="6.140625" style="102" hidden="1" customWidth="1"/>
    <col min="8" max="8" width="9.140625" style="9" bestFit="1" customWidth="1"/>
    <col min="9" max="9" width="9.57421875" style="103" customWidth="1"/>
    <col min="10" max="10" width="4.8515625" style="9" bestFit="1" customWidth="1"/>
    <col min="11" max="11" width="9.00390625" style="104" bestFit="1" customWidth="1"/>
    <col min="12" max="12" width="9.140625" style="9" customWidth="1"/>
    <col min="13" max="13" width="11.140625" style="9" bestFit="1" customWidth="1"/>
    <col min="14" max="15" width="10.140625" style="9" bestFit="1" customWidth="1"/>
    <col min="16" max="16384" width="9.140625" style="9" customWidth="1"/>
  </cols>
  <sheetData>
    <row r="1" spans="1:11" ht="27" customHeight="1">
      <c r="A1" s="536" t="str">
        <f>'[1]Road 1'!A1:M1</f>
        <v>PROPOSED ROAD 5 (A) FROM BADI OMTI TO MALVIYA CHOWK JABALPUR (M.P.)</v>
      </c>
      <c r="B1" s="536"/>
      <c r="C1" s="536"/>
      <c r="D1" s="536"/>
      <c r="E1" s="536"/>
      <c r="F1" s="536"/>
      <c r="G1" s="536"/>
      <c r="H1" s="536"/>
      <c r="I1" s="536"/>
      <c r="J1" s="536"/>
      <c r="K1" s="536"/>
    </row>
    <row r="2" spans="1:11" ht="15" customHeight="1">
      <c r="A2" s="537" t="str">
        <f>'[1]Road 1'!A2:M2</f>
        <v>Length of the Road =670 m</v>
      </c>
      <c r="B2" s="537"/>
      <c r="C2" s="537"/>
      <c r="D2" s="537"/>
      <c r="E2" s="537"/>
      <c r="F2" s="537"/>
      <c r="G2" s="537"/>
      <c r="H2" s="537"/>
      <c r="I2" s="537"/>
      <c r="J2" s="537"/>
      <c r="K2" s="537"/>
    </row>
    <row r="3" spans="1:11" s="211" customFormat="1" ht="12" customHeight="1" hidden="1">
      <c r="A3" s="538" t="s">
        <v>136</v>
      </c>
      <c r="B3" s="538"/>
      <c r="C3" s="538"/>
      <c r="D3" s="538"/>
      <c r="E3" s="538"/>
      <c r="F3" s="538"/>
      <c r="G3" s="538"/>
      <c r="H3" s="538"/>
      <c r="I3" s="538"/>
      <c r="J3" s="538"/>
      <c r="K3" s="538"/>
    </row>
    <row r="4" spans="1:11" s="211" customFormat="1" ht="12" customHeight="1" hidden="1">
      <c r="A4" s="538" t="s">
        <v>137</v>
      </c>
      <c r="B4" s="538"/>
      <c r="C4" s="538"/>
      <c r="D4" s="538"/>
      <c r="E4" s="538"/>
      <c r="F4" s="538"/>
      <c r="G4" s="538"/>
      <c r="H4" s="538"/>
      <c r="I4" s="538"/>
      <c r="J4" s="538"/>
      <c r="K4" s="538"/>
    </row>
    <row r="5" spans="1:11" s="211" customFormat="1" ht="12" customHeight="1" hidden="1">
      <c r="A5" s="212"/>
      <c r="B5" s="212"/>
      <c r="C5" s="212"/>
      <c r="D5" s="212"/>
      <c r="E5" s="212"/>
      <c r="F5" s="212"/>
      <c r="G5" s="212"/>
      <c r="H5" s="212"/>
      <c r="I5" s="212"/>
      <c r="J5" s="212"/>
      <c r="K5" s="212"/>
    </row>
    <row r="6" spans="1:11" s="211" customFormat="1" ht="12" customHeight="1" hidden="1">
      <c r="A6" s="213" t="s">
        <v>56</v>
      </c>
      <c r="B6" s="212"/>
      <c r="C6" s="212"/>
      <c r="D6" s="212"/>
      <c r="E6" s="212"/>
      <c r="F6" s="212"/>
      <c r="G6" s="212"/>
      <c r="H6" s="212"/>
      <c r="I6" s="212"/>
      <c r="J6" s="212"/>
      <c r="K6" s="212"/>
    </row>
    <row r="7" spans="1:11" s="211" customFormat="1" ht="12" customHeight="1" hidden="1">
      <c r="A7" s="212" t="s">
        <v>138</v>
      </c>
      <c r="B7" s="212"/>
      <c r="C7" s="212"/>
      <c r="D7" s="212"/>
      <c r="E7" s="212"/>
      <c r="F7" s="212"/>
      <c r="G7" s="212"/>
      <c r="H7" s="212"/>
      <c r="I7" s="212"/>
      <c r="J7" s="212"/>
      <c r="K7" s="212"/>
    </row>
    <row r="8" spans="1:11" s="211" customFormat="1" ht="12" customHeight="1" hidden="1">
      <c r="A8" s="312" t="s">
        <v>201</v>
      </c>
      <c r="B8" s="212"/>
      <c r="C8" s="212"/>
      <c r="D8" s="212"/>
      <c r="E8" s="212"/>
      <c r="F8" s="212"/>
      <c r="G8" s="212"/>
      <c r="H8" s="212"/>
      <c r="I8" s="212"/>
      <c r="J8" s="212"/>
      <c r="K8" s="212"/>
    </row>
    <row r="9" spans="1:11" ht="12" customHeight="1">
      <c r="A9" s="212"/>
      <c r="B9" s="212"/>
      <c r="C9" s="212"/>
      <c r="D9" s="212"/>
      <c r="E9" s="212"/>
      <c r="F9" s="212"/>
      <c r="G9" s="212"/>
      <c r="H9" s="212"/>
      <c r="I9" s="212"/>
      <c r="J9" s="212"/>
      <c r="K9" s="212"/>
    </row>
    <row r="10" spans="1:11" s="23" customFormat="1" ht="18" customHeight="1">
      <c r="A10" s="539" t="s">
        <v>139</v>
      </c>
      <c r="B10" s="540"/>
      <c r="C10" s="540"/>
      <c r="D10" s="540"/>
      <c r="E10" s="540"/>
      <c r="F10" s="540"/>
      <c r="G10" s="540"/>
      <c r="H10" s="540"/>
      <c r="I10" s="540"/>
      <c r="J10" s="540"/>
      <c r="K10" s="541"/>
    </row>
    <row r="11" spans="1:11" ht="15">
      <c r="A11" s="542" t="s">
        <v>42</v>
      </c>
      <c r="B11" s="543" t="s">
        <v>50</v>
      </c>
      <c r="C11" s="542" t="s">
        <v>9</v>
      </c>
      <c r="D11" s="544" t="s">
        <v>10</v>
      </c>
      <c r="E11" s="544"/>
      <c r="F11" s="544"/>
      <c r="G11" s="544"/>
      <c r="H11" s="544"/>
      <c r="I11" s="545" t="s">
        <v>11</v>
      </c>
      <c r="J11" s="533" t="s">
        <v>8</v>
      </c>
      <c r="K11" s="534" t="s">
        <v>3</v>
      </c>
    </row>
    <row r="12" spans="1:11" ht="35.25" customHeight="1">
      <c r="A12" s="542"/>
      <c r="B12" s="543"/>
      <c r="C12" s="542"/>
      <c r="D12" s="214" t="s">
        <v>5</v>
      </c>
      <c r="E12" s="214" t="s">
        <v>12</v>
      </c>
      <c r="F12" s="215" t="s">
        <v>13</v>
      </c>
      <c r="G12" s="215" t="s">
        <v>14</v>
      </c>
      <c r="H12" s="214" t="s">
        <v>4</v>
      </c>
      <c r="I12" s="546"/>
      <c r="J12" s="533"/>
      <c r="K12" s="535"/>
    </row>
    <row r="13" spans="1:11" ht="30.75" customHeight="1">
      <c r="A13" s="216" t="s">
        <v>15</v>
      </c>
      <c r="B13" s="506" t="s">
        <v>140</v>
      </c>
      <c r="C13" s="345" t="s">
        <v>204</v>
      </c>
      <c r="D13" s="525"/>
      <c r="E13" s="526"/>
      <c r="F13" s="528" t="s">
        <v>141</v>
      </c>
      <c r="G13" s="528"/>
      <c r="H13" s="529"/>
      <c r="I13" s="530"/>
      <c r="J13" s="498"/>
      <c r="K13" s="515"/>
    </row>
    <row r="14" spans="1:11" ht="25.5" customHeight="1">
      <c r="A14" s="518"/>
      <c r="B14" s="507"/>
      <c r="C14" s="520" t="s">
        <v>142</v>
      </c>
      <c r="D14" s="525"/>
      <c r="E14" s="526"/>
      <c r="F14" s="527"/>
      <c r="G14" s="528"/>
      <c r="H14" s="529"/>
      <c r="I14" s="531"/>
      <c r="J14" s="499"/>
      <c r="K14" s="516"/>
    </row>
    <row r="15" spans="1:11" ht="47.25" customHeight="1">
      <c r="A15" s="519"/>
      <c r="B15" s="507"/>
      <c r="C15" s="521"/>
      <c r="D15" s="525"/>
      <c r="E15" s="526"/>
      <c r="F15" s="527"/>
      <c r="G15" s="528"/>
      <c r="H15" s="529"/>
      <c r="I15" s="532"/>
      <c r="J15" s="500"/>
      <c r="K15" s="517"/>
    </row>
    <row r="16" spans="1:11" ht="15" customHeight="1">
      <c r="A16" s="519"/>
      <c r="B16" s="507"/>
      <c r="C16" s="326" t="s">
        <v>143</v>
      </c>
      <c r="D16" s="217">
        <v>2</v>
      </c>
      <c r="E16" s="218">
        <v>670</v>
      </c>
      <c r="F16" s="219">
        <v>1.3</v>
      </c>
      <c r="G16" s="220">
        <v>1.15</v>
      </c>
      <c r="H16" s="221">
        <f>G16*F16*E16*D16</f>
        <v>2003.3</v>
      </c>
      <c r="I16" s="499">
        <v>116.1</v>
      </c>
      <c r="J16" s="499" t="s">
        <v>144</v>
      </c>
      <c r="K16" s="493">
        <f>I16*H18</f>
        <v>829987.2899999999</v>
      </c>
    </row>
    <row r="17" spans="1:11" ht="15" customHeight="1">
      <c r="A17" s="519"/>
      <c r="B17" s="507"/>
      <c r="C17" s="326" t="s">
        <v>145</v>
      </c>
      <c r="D17" s="217">
        <v>2</v>
      </c>
      <c r="E17" s="218">
        <v>670</v>
      </c>
      <c r="F17" s="219">
        <v>2.4</v>
      </c>
      <c r="G17" s="220">
        <v>1.6</v>
      </c>
      <c r="H17" s="221">
        <f>G17*F17*E17*D17</f>
        <v>5145.599999999999</v>
      </c>
      <c r="I17" s="499"/>
      <c r="J17" s="499"/>
      <c r="K17" s="493"/>
    </row>
    <row r="18" spans="1:13" ht="15" customHeight="1">
      <c r="A18" s="519"/>
      <c r="B18" s="511"/>
      <c r="C18" s="327" t="s">
        <v>146</v>
      </c>
      <c r="D18" s="129"/>
      <c r="E18" s="139"/>
      <c r="F18" s="220"/>
      <c r="G18" s="220"/>
      <c r="H18" s="222">
        <f>SUM(H16:H17)</f>
        <v>7148.9</v>
      </c>
      <c r="I18" s="500"/>
      <c r="J18" s="500"/>
      <c r="K18" s="494"/>
      <c r="M18" s="9">
        <f>(129-(129*10%))</f>
        <v>116.1</v>
      </c>
    </row>
    <row r="19" spans="1:11" ht="15">
      <c r="A19" s="223"/>
      <c r="B19" s="522"/>
      <c r="C19" s="523"/>
      <c r="D19" s="523"/>
      <c r="E19" s="523"/>
      <c r="F19" s="523"/>
      <c r="G19" s="523"/>
      <c r="H19" s="523"/>
      <c r="I19" s="523"/>
      <c r="J19" s="524"/>
      <c r="K19" s="224"/>
    </row>
    <row r="20" spans="1:11" ht="15" customHeight="1" hidden="1">
      <c r="A20" s="216" t="s">
        <v>16</v>
      </c>
      <c r="B20" s="506" t="s">
        <v>147</v>
      </c>
      <c r="C20" s="345" t="s">
        <v>148</v>
      </c>
      <c r="D20" s="525"/>
      <c r="E20" s="526"/>
      <c r="F20" s="527"/>
      <c r="G20" s="528"/>
      <c r="H20" s="529"/>
      <c r="I20" s="530"/>
      <c r="J20" s="498"/>
      <c r="K20" s="515"/>
    </row>
    <row r="21" spans="1:11" ht="25.5" customHeight="1" hidden="1">
      <c r="A21" s="518"/>
      <c r="B21" s="507"/>
      <c r="C21" s="520" t="s">
        <v>149</v>
      </c>
      <c r="D21" s="525"/>
      <c r="E21" s="526"/>
      <c r="F21" s="527"/>
      <c r="G21" s="528"/>
      <c r="H21" s="529"/>
      <c r="I21" s="531"/>
      <c r="J21" s="499"/>
      <c r="K21" s="516"/>
    </row>
    <row r="22" spans="1:11" ht="132" customHeight="1" hidden="1">
      <c r="A22" s="519"/>
      <c r="B22" s="507"/>
      <c r="C22" s="521"/>
      <c r="D22" s="525"/>
      <c r="E22" s="526"/>
      <c r="F22" s="527"/>
      <c r="G22" s="528"/>
      <c r="H22" s="529"/>
      <c r="I22" s="532"/>
      <c r="J22" s="500"/>
      <c r="K22" s="517"/>
    </row>
    <row r="23" spans="1:11" ht="12.75" customHeight="1" hidden="1">
      <c r="A23" s="519"/>
      <c r="B23" s="507"/>
      <c r="C23" s="324" t="s">
        <v>150</v>
      </c>
      <c r="D23" s="225"/>
      <c r="E23" s="226"/>
      <c r="F23" s="227"/>
      <c r="G23" s="227"/>
      <c r="H23" s="228"/>
      <c r="I23" s="229"/>
      <c r="J23" s="230"/>
      <c r="K23" s="231"/>
    </row>
    <row r="24" spans="1:11" ht="12.75" customHeight="1" hidden="1">
      <c r="A24" s="519"/>
      <c r="B24" s="507"/>
      <c r="C24" s="324" t="s">
        <v>151</v>
      </c>
      <c r="D24" s="225">
        <v>2</v>
      </c>
      <c r="E24" s="133">
        <v>248</v>
      </c>
      <c r="F24" s="227">
        <v>1</v>
      </c>
      <c r="G24" s="227">
        <v>0.15</v>
      </c>
      <c r="H24" s="228">
        <f>G24*F24*E24*D24</f>
        <v>74.39999999999999</v>
      </c>
      <c r="I24" s="229"/>
      <c r="J24" s="230"/>
      <c r="K24" s="231"/>
    </row>
    <row r="25" spans="1:11" ht="15" customHeight="1" hidden="1">
      <c r="A25" s="519"/>
      <c r="B25" s="507"/>
      <c r="C25" s="326" t="s">
        <v>152</v>
      </c>
      <c r="D25" s="232">
        <v>4</v>
      </c>
      <c r="E25" s="233">
        <v>248</v>
      </c>
      <c r="F25" s="219">
        <v>0.15</v>
      </c>
      <c r="G25" s="220">
        <v>0.8</v>
      </c>
      <c r="H25" s="221">
        <f>G25*F25*E25*D25</f>
        <v>119.03999999999999</v>
      </c>
      <c r="I25" s="487">
        <v>234</v>
      </c>
      <c r="J25" s="499" t="s">
        <v>144</v>
      </c>
      <c r="K25" s="493">
        <f>I25*H26</f>
        <v>45264.96</v>
      </c>
    </row>
    <row r="26" spans="1:11" ht="15" customHeight="1" hidden="1">
      <c r="A26" s="519"/>
      <c r="B26" s="511"/>
      <c r="C26" s="327" t="s">
        <v>146</v>
      </c>
      <c r="D26" s="139"/>
      <c r="E26" s="139"/>
      <c r="F26" s="220"/>
      <c r="G26" s="220"/>
      <c r="H26" s="222">
        <f>SUM(H24:H25)</f>
        <v>193.44</v>
      </c>
      <c r="I26" s="488"/>
      <c r="J26" s="500"/>
      <c r="K26" s="494"/>
    </row>
    <row r="27" spans="1:11" ht="15" hidden="1">
      <c r="A27" s="234"/>
      <c r="B27" s="234"/>
      <c r="C27" s="209"/>
      <c r="D27" s="139"/>
      <c r="E27" s="139"/>
      <c r="F27" s="220"/>
      <c r="G27" s="220"/>
      <c r="H27" s="138"/>
      <c r="I27" s="138"/>
      <c r="J27" s="235"/>
      <c r="K27" s="119"/>
    </row>
    <row r="28" spans="1:11" s="19" customFormat="1" ht="12" customHeight="1">
      <c r="A28" s="236" t="s">
        <v>16</v>
      </c>
      <c r="B28" s="513" t="s">
        <v>153</v>
      </c>
      <c r="C28" s="322" t="s">
        <v>154</v>
      </c>
      <c r="D28" s="237"/>
      <c r="E28" s="238"/>
      <c r="F28" s="239"/>
      <c r="G28" s="240"/>
      <c r="H28" s="241"/>
      <c r="I28" s="242"/>
      <c r="J28" s="243"/>
      <c r="K28" s="244"/>
    </row>
    <row r="29" spans="1:11" s="19" customFormat="1" ht="53.25" customHeight="1">
      <c r="A29" s="245"/>
      <c r="B29" s="514"/>
      <c r="C29" s="344" t="s">
        <v>155</v>
      </c>
      <c r="D29" s="237"/>
      <c r="E29" s="238"/>
      <c r="F29" s="239"/>
      <c r="G29" s="240"/>
      <c r="H29" s="241"/>
      <c r="I29" s="242"/>
      <c r="J29" s="243"/>
      <c r="K29" s="244"/>
    </row>
    <row r="30" spans="1:11" ht="15" customHeight="1">
      <c r="A30" s="246"/>
      <c r="B30" s="247"/>
      <c r="C30" s="326" t="str">
        <f>C16</f>
        <v>Drain CH. 0 to 670m</v>
      </c>
      <c r="D30" s="217">
        <v>2</v>
      </c>
      <c r="E30" s="248">
        <f>E16</f>
        <v>670</v>
      </c>
      <c r="F30" s="239">
        <v>1.3</v>
      </c>
      <c r="G30" s="240">
        <v>0.1</v>
      </c>
      <c r="H30" s="221">
        <f>G30*F30*E30*D30</f>
        <v>174.20000000000002</v>
      </c>
      <c r="I30" s="249"/>
      <c r="J30" s="250"/>
      <c r="K30" s="251"/>
    </row>
    <row r="31" spans="1:11" ht="15" customHeight="1">
      <c r="A31" s="246"/>
      <c r="B31" s="247"/>
      <c r="C31" s="326" t="str">
        <f>C17</f>
        <v>Service Duct CH. 0 to 670m</v>
      </c>
      <c r="D31" s="217">
        <v>2</v>
      </c>
      <c r="E31" s="218">
        <f>E16</f>
        <v>670</v>
      </c>
      <c r="F31" s="219">
        <v>2.4</v>
      </c>
      <c r="G31" s="240">
        <v>0.1</v>
      </c>
      <c r="H31" s="221">
        <f>G31*F31*E31*D31</f>
        <v>321.59999999999997</v>
      </c>
      <c r="I31" s="249"/>
      <c r="J31" s="250"/>
      <c r="K31" s="251"/>
    </row>
    <row r="32" spans="1:13" s="19" customFormat="1" ht="12.75">
      <c r="A32" s="252"/>
      <c r="B32" s="253"/>
      <c r="C32" s="327" t="s">
        <v>2</v>
      </c>
      <c r="D32" s="129"/>
      <c r="E32" s="139"/>
      <c r="F32" s="220"/>
      <c r="G32" s="220"/>
      <c r="H32" s="222">
        <f>SUM(H30:H31)</f>
        <v>495.79999999999995</v>
      </c>
      <c r="I32" s="368">
        <v>565.2</v>
      </c>
      <c r="J32" s="255" t="s">
        <v>144</v>
      </c>
      <c r="K32" s="256">
        <f>I32*H32</f>
        <v>280226.16</v>
      </c>
      <c r="M32" s="19">
        <f>(628-(628*10%))</f>
        <v>565.2</v>
      </c>
    </row>
    <row r="33" spans="1:11" s="19" customFormat="1" ht="12.75">
      <c r="A33" s="252"/>
      <c r="B33" s="253"/>
      <c r="C33" s="257"/>
      <c r="D33" s="139"/>
      <c r="E33" s="139"/>
      <c r="F33" s="220"/>
      <c r="G33" s="220"/>
      <c r="H33" s="222"/>
      <c r="I33" s="254"/>
      <c r="J33" s="255"/>
      <c r="K33" s="256"/>
    </row>
    <row r="34" spans="1:11" ht="27.75" customHeight="1">
      <c r="A34" s="216" t="s">
        <v>43</v>
      </c>
      <c r="B34" s="506" t="s">
        <v>156</v>
      </c>
      <c r="C34" s="329" t="s">
        <v>205</v>
      </c>
      <c r="D34" s="260"/>
      <c r="E34" s="139"/>
      <c r="F34" s="261"/>
      <c r="G34" s="261"/>
      <c r="H34" s="138"/>
      <c r="I34" s="262"/>
      <c r="J34" s="139"/>
      <c r="K34" s="119"/>
    </row>
    <row r="35" spans="1:11" ht="63.75" customHeight="1">
      <c r="A35" s="512"/>
      <c r="B35" s="507"/>
      <c r="C35" s="344" t="s">
        <v>157</v>
      </c>
      <c r="D35" s="260"/>
      <c r="E35" s="139"/>
      <c r="F35" s="261"/>
      <c r="G35" s="261"/>
      <c r="H35" s="138"/>
      <c r="I35" s="262"/>
      <c r="J35" s="139"/>
      <c r="K35" s="119"/>
    </row>
    <row r="36" spans="1:11" ht="15" customHeight="1">
      <c r="A36" s="512"/>
      <c r="B36" s="507"/>
      <c r="C36" s="326" t="str">
        <f>C30</f>
        <v>Drain CH. 0 to 670m</v>
      </c>
      <c r="D36" s="217">
        <v>2</v>
      </c>
      <c r="E36" s="218">
        <f>E16</f>
        <v>670</v>
      </c>
      <c r="F36" s="220">
        <v>1.25</v>
      </c>
      <c r="G36" s="219">
        <v>0.1</v>
      </c>
      <c r="H36" s="221">
        <f>G36*F36*E36*D36</f>
        <v>167.5</v>
      </c>
      <c r="I36" s="229"/>
      <c r="J36" s="230"/>
      <c r="K36" s="231"/>
    </row>
    <row r="37" spans="1:11" ht="15" customHeight="1">
      <c r="A37" s="512"/>
      <c r="B37" s="507"/>
      <c r="C37" s="326" t="str">
        <f>C17</f>
        <v>Service Duct CH. 0 to 670m</v>
      </c>
      <c r="D37" s="217">
        <v>2</v>
      </c>
      <c r="E37" s="218">
        <f>E16</f>
        <v>670</v>
      </c>
      <c r="F37" s="219">
        <v>2.2</v>
      </c>
      <c r="G37" s="240">
        <v>0.1</v>
      </c>
      <c r="H37" s="221">
        <f>G37*F37*E37*D37</f>
        <v>294.8</v>
      </c>
      <c r="I37" s="229"/>
      <c r="J37" s="230"/>
      <c r="K37" s="231"/>
    </row>
    <row r="38" spans="1:13" ht="15" customHeight="1">
      <c r="A38" s="512"/>
      <c r="B38" s="511"/>
      <c r="C38" s="327" t="s">
        <v>158</v>
      </c>
      <c r="D38" s="129"/>
      <c r="E38" s="139"/>
      <c r="F38" s="220"/>
      <c r="G38" s="220"/>
      <c r="H38" s="222">
        <f>SUM(H36:H37)</f>
        <v>462.3</v>
      </c>
      <c r="I38" s="368">
        <v>3175.2</v>
      </c>
      <c r="J38" s="255" t="s">
        <v>144</v>
      </c>
      <c r="K38" s="256">
        <f>I38*H38</f>
        <v>1467894.96</v>
      </c>
      <c r="M38" s="9">
        <f>(3528-(3528*10%))</f>
        <v>3175.2</v>
      </c>
    </row>
    <row r="39" spans="1:11" ht="15">
      <c r="A39" s="263"/>
      <c r="B39" s="264"/>
      <c r="C39" s="257"/>
      <c r="D39" s="139"/>
      <c r="E39" s="139"/>
      <c r="F39" s="220"/>
      <c r="G39" s="220"/>
      <c r="H39" s="222"/>
      <c r="I39" s="254"/>
      <c r="J39" s="255"/>
      <c r="K39" s="256"/>
    </row>
    <row r="40" spans="1:11" s="17" customFormat="1" ht="30" customHeight="1">
      <c r="A40" s="216" t="s">
        <v>17</v>
      </c>
      <c r="B40" s="316" t="s">
        <v>159</v>
      </c>
      <c r="C40" s="329" t="s">
        <v>206</v>
      </c>
      <c r="D40" s="260"/>
      <c r="E40" s="139"/>
      <c r="F40" s="227"/>
      <c r="G40" s="227"/>
      <c r="H40" s="138"/>
      <c r="I40" s="265"/>
      <c r="J40" s="139"/>
      <c r="K40" s="266"/>
    </row>
    <row r="41" spans="1:11" ht="63.75" customHeight="1">
      <c r="A41" s="317"/>
      <c r="B41" s="318"/>
      <c r="C41" s="335" t="s">
        <v>160</v>
      </c>
      <c r="D41" s="267"/>
      <c r="E41" s="227"/>
      <c r="F41" s="227"/>
      <c r="G41" s="227"/>
      <c r="H41" s="138"/>
      <c r="I41" s="313"/>
      <c r="J41" s="275"/>
      <c r="K41" s="313"/>
    </row>
    <row r="42" spans="1:11" ht="15" customHeight="1">
      <c r="A42" s="319"/>
      <c r="B42" s="318"/>
      <c r="C42" s="333" t="str">
        <f>C16</f>
        <v>Drain CH. 0 to 670m</v>
      </c>
      <c r="D42" s="268"/>
      <c r="E42" s="269"/>
      <c r="F42" s="221"/>
      <c r="G42" s="221"/>
      <c r="H42" s="221"/>
      <c r="I42" s="314"/>
      <c r="J42" s="276"/>
      <c r="K42" s="314"/>
    </row>
    <row r="43" spans="1:11" ht="12.75" customHeight="1">
      <c r="A43" s="319"/>
      <c r="B43" s="318"/>
      <c r="C43" s="324" t="s">
        <v>151</v>
      </c>
      <c r="D43" s="270">
        <v>2</v>
      </c>
      <c r="E43" s="134">
        <f>E16</f>
        <v>670</v>
      </c>
      <c r="F43" s="131">
        <v>1.2</v>
      </c>
      <c r="G43" s="131">
        <v>0.2</v>
      </c>
      <c r="H43" s="136">
        <f>G43*F43*E43*D43</f>
        <v>321.59999999999997</v>
      </c>
      <c r="I43" s="314"/>
      <c r="J43" s="276"/>
      <c r="K43" s="314"/>
    </row>
    <row r="44" spans="1:11" ht="12.75" customHeight="1">
      <c r="A44" s="319"/>
      <c r="B44" s="318"/>
      <c r="C44" s="324" t="s">
        <v>152</v>
      </c>
      <c r="D44" s="134" t="s">
        <v>161</v>
      </c>
      <c r="E44" s="134">
        <f>E16</f>
        <v>670</v>
      </c>
      <c r="F44" s="131">
        <v>0.2</v>
      </c>
      <c r="G44" s="131">
        <v>0.8</v>
      </c>
      <c r="H44" s="136">
        <f>G44*F44*E44*4</f>
        <v>428.80000000000007</v>
      </c>
      <c r="I44" s="314"/>
      <c r="J44" s="276"/>
      <c r="K44" s="314"/>
    </row>
    <row r="45" spans="1:11" ht="12.75" customHeight="1">
      <c r="A45" s="319"/>
      <c r="B45" s="318"/>
      <c r="C45" s="333" t="s">
        <v>202</v>
      </c>
      <c r="D45" s="270"/>
      <c r="E45" s="134"/>
      <c r="F45" s="131"/>
      <c r="G45" s="131"/>
      <c r="H45" s="136"/>
      <c r="I45" s="314"/>
      <c r="J45" s="276"/>
      <c r="K45" s="314"/>
    </row>
    <row r="46" spans="1:11" ht="12.75" customHeight="1">
      <c r="A46" s="319"/>
      <c r="B46" s="318"/>
      <c r="C46" s="324" t="s">
        <v>151</v>
      </c>
      <c r="D46" s="270">
        <v>2</v>
      </c>
      <c r="E46" s="134">
        <f>E16</f>
        <v>670</v>
      </c>
      <c r="F46" s="131">
        <v>1.1</v>
      </c>
      <c r="G46" s="131">
        <v>0.2</v>
      </c>
      <c r="H46" s="136">
        <f>G46*F46*E46*D46</f>
        <v>294.8</v>
      </c>
      <c r="I46" s="314"/>
      <c r="J46" s="276"/>
      <c r="K46" s="314"/>
    </row>
    <row r="47" spans="1:11" ht="12.75" customHeight="1">
      <c r="A47" s="295"/>
      <c r="B47" s="320"/>
      <c r="C47" s="324" t="s">
        <v>152</v>
      </c>
      <c r="D47" s="134" t="s">
        <v>161</v>
      </c>
      <c r="E47" s="134">
        <f>E16</f>
        <v>670</v>
      </c>
      <c r="F47" s="131">
        <v>0.2</v>
      </c>
      <c r="G47" s="131">
        <v>1.4</v>
      </c>
      <c r="H47" s="136">
        <f>G47*F47*E47*6</f>
        <v>1125.6</v>
      </c>
      <c r="I47" s="315"/>
      <c r="J47" s="321"/>
      <c r="K47" s="315"/>
    </row>
    <row r="48" spans="1:11" ht="12.75" customHeight="1">
      <c r="A48" s="319"/>
      <c r="B48" s="318"/>
      <c r="C48" s="343" t="s">
        <v>203</v>
      </c>
      <c r="D48" s="270"/>
      <c r="E48" s="134"/>
      <c r="F48" s="131"/>
      <c r="G48" s="131"/>
      <c r="H48" s="136"/>
      <c r="I48" s="314"/>
      <c r="J48" s="276"/>
      <c r="K48" s="314"/>
    </row>
    <row r="49" spans="1:11" ht="12.75" customHeight="1">
      <c r="A49" s="319"/>
      <c r="B49" s="318"/>
      <c r="C49" s="324" t="s">
        <v>151</v>
      </c>
      <c r="D49" s="270">
        <v>2</v>
      </c>
      <c r="E49" s="134">
        <f>E46</f>
        <v>670</v>
      </c>
      <c r="F49" s="131">
        <v>0.7</v>
      </c>
      <c r="G49" s="131">
        <v>0.2</v>
      </c>
      <c r="H49" s="136">
        <f>G49*F49*E49*D49</f>
        <v>187.6</v>
      </c>
      <c r="I49" s="314"/>
      <c r="J49" s="276"/>
      <c r="K49" s="314"/>
    </row>
    <row r="50" spans="1:11" ht="12.75" customHeight="1">
      <c r="A50" s="319"/>
      <c r="B50" s="318"/>
      <c r="C50" s="324" t="s">
        <v>152</v>
      </c>
      <c r="D50" s="134">
        <v>2</v>
      </c>
      <c r="E50" s="134">
        <f>E46</f>
        <v>670</v>
      </c>
      <c r="F50" s="131">
        <v>0.2</v>
      </c>
      <c r="G50" s="131">
        <v>0.7</v>
      </c>
      <c r="H50" s="136">
        <f>G50*F50*E50*2</f>
        <v>187.6</v>
      </c>
      <c r="I50" s="314"/>
      <c r="J50" s="276"/>
      <c r="K50" s="314"/>
    </row>
    <row r="51" spans="1:11" ht="12.75" customHeight="1">
      <c r="A51" s="319"/>
      <c r="B51" s="318"/>
      <c r="C51" s="342" t="s">
        <v>162</v>
      </c>
      <c r="D51" s="271"/>
      <c r="E51" s="134"/>
      <c r="F51" s="131"/>
      <c r="G51" s="131"/>
      <c r="H51" s="136"/>
      <c r="I51" s="314"/>
      <c r="J51" s="276"/>
      <c r="K51" s="314"/>
    </row>
    <row r="52" spans="1:11" ht="27" customHeight="1">
      <c r="A52" s="319"/>
      <c r="B52" s="318"/>
      <c r="C52" s="342" t="s">
        <v>163</v>
      </c>
      <c r="D52" s="270">
        <v>2</v>
      </c>
      <c r="E52" s="134">
        <f>E16</f>
        <v>670</v>
      </c>
      <c r="F52" s="131">
        <v>1</v>
      </c>
      <c r="G52" s="131">
        <v>0.2</v>
      </c>
      <c r="H52" s="136">
        <f>G52*F52*E52*D52</f>
        <v>268</v>
      </c>
      <c r="I52" s="314"/>
      <c r="J52" s="276"/>
      <c r="K52" s="314"/>
    </row>
    <row r="53" spans="1:11" ht="30.75" customHeight="1">
      <c r="A53" s="319"/>
      <c r="B53" s="318"/>
      <c r="C53" s="342" t="s">
        <v>164</v>
      </c>
      <c r="D53" s="270">
        <v>2</v>
      </c>
      <c r="E53" s="134">
        <f>E16</f>
        <v>670</v>
      </c>
      <c r="F53" s="131">
        <v>1.8</v>
      </c>
      <c r="G53" s="131">
        <v>0.2</v>
      </c>
      <c r="H53" s="136">
        <f>G53*F53*E53*D53</f>
        <v>482.40000000000003</v>
      </c>
      <c r="I53" s="314"/>
      <c r="J53" s="276"/>
      <c r="K53" s="314"/>
    </row>
    <row r="54" spans="1:13" ht="12" customHeight="1">
      <c r="A54" s="295"/>
      <c r="B54" s="320"/>
      <c r="C54" s="495" t="s">
        <v>165</v>
      </c>
      <c r="D54" s="496"/>
      <c r="E54" s="496"/>
      <c r="F54" s="496"/>
      <c r="G54" s="497"/>
      <c r="H54" s="222">
        <f>SUM(H43:H53)</f>
        <v>3296.4</v>
      </c>
      <c r="I54" s="605">
        <v>4255.2</v>
      </c>
      <c r="J54" s="235" t="s">
        <v>0</v>
      </c>
      <c r="K54" s="119">
        <f>I54*H54</f>
        <v>14026841.28</v>
      </c>
      <c r="M54" s="9">
        <f>(4728-(4728*10%))</f>
        <v>4255.2</v>
      </c>
    </row>
    <row r="55" spans="1:11" ht="12.75" customHeight="1">
      <c r="A55" s="272"/>
      <c r="B55" s="273"/>
      <c r="C55" s="257"/>
      <c r="D55" s="258"/>
      <c r="E55" s="258"/>
      <c r="F55" s="258"/>
      <c r="G55" s="259"/>
      <c r="H55" s="138"/>
      <c r="I55" s="224"/>
      <c r="J55" s="230"/>
      <c r="K55" s="224"/>
    </row>
    <row r="56" spans="1:11" ht="27" customHeight="1">
      <c r="A56" s="216" t="s">
        <v>28</v>
      </c>
      <c r="B56" s="506" t="s">
        <v>166</v>
      </c>
      <c r="C56" s="341" t="s">
        <v>207</v>
      </c>
      <c r="D56" s="134"/>
      <c r="E56" s="274"/>
      <c r="F56" s="274"/>
      <c r="G56" s="274"/>
      <c r="H56" s="137"/>
      <c r="I56" s="492">
        <v>54</v>
      </c>
      <c r="J56" s="498" t="s">
        <v>167</v>
      </c>
      <c r="K56" s="492">
        <f>H80*I56</f>
        <v>7947218.501999999</v>
      </c>
    </row>
    <row r="57" spans="1:11" ht="72.75" customHeight="1">
      <c r="A57" s="275"/>
      <c r="B57" s="507"/>
      <c r="C57" s="338" t="s">
        <v>168</v>
      </c>
      <c r="D57" s="267"/>
      <c r="E57" s="227"/>
      <c r="F57" s="227"/>
      <c r="G57" s="227"/>
      <c r="H57" s="138"/>
      <c r="I57" s="493"/>
      <c r="J57" s="499"/>
      <c r="K57" s="493"/>
    </row>
    <row r="58" spans="1:11" ht="23.25" customHeight="1">
      <c r="A58" s="276"/>
      <c r="B58" s="507"/>
      <c r="C58" s="339" t="s">
        <v>169</v>
      </c>
      <c r="D58" s="267"/>
      <c r="E58" s="227"/>
      <c r="F58" s="227"/>
      <c r="G58" s="227"/>
      <c r="H58" s="139"/>
      <c r="I58" s="493"/>
      <c r="J58" s="499"/>
      <c r="K58" s="493"/>
    </row>
    <row r="59" spans="1:11" ht="15" customHeight="1">
      <c r="A59" s="276"/>
      <c r="B59" s="507"/>
      <c r="C59" s="340" t="s">
        <v>170</v>
      </c>
      <c r="D59" s="267"/>
      <c r="E59" s="227"/>
      <c r="F59" s="227"/>
      <c r="G59" s="227"/>
      <c r="H59" s="139"/>
      <c r="I59" s="493"/>
      <c r="J59" s="499"/>
      <c r="K59" s="493"/>
    </row>
    <row r="60" spans="1:11" ht="15" customHeight="1">
      <c r="A60" s="276"/>
      <c r="B60" s="507"/>
      <c r="C60" s="326" t="str">
        <f>C16</f>
        <v>Drain CH. 0 to 670m</v>
      </c>
      <c r="D60" s="268"/>
      <c r="E60" s="269"/>
      <c r="F60" s="221"/>
      <c r="G60" s="220"/>
      <c r="H60" s="221"/>
      <c r="I60" s="493"/>
      <c r="J60" s="499"/>
      <c r="K60" s="493"/>
    </row>
    <row r="61" spans="1:11" ht="15" customHeight="1">
      <c r="A61" s="276"/>
      <c r="B61" s="507"/>
      <c r="C61" s="334" t="s">
        <v>171</v>
      </c>
      <c r="D61" s="268"/>
      <c r="E61" s="269"/>
      <c r="F61" s="221"/>
      <c r="G61" s="220"/>
      <c r="H61" s="221"/>
      <c r="I61" s="493"/>
      <c r="J61" s="499"/>
      <c r="K61" s="493"/>
    </row>
    <row r="62" spans="1:11" ht="15">
      <c r="A62" s="276"/>
      <c r="B62" s="507"/>
      <c r="C62" s="337" t="s">
        <v>172</v>
      </c>
      <c r="D62" s="267" t="s">
        <v>173</v>
      </c>
      <c r="E62" s="227">
        <v>2.86</v>
      </c>
      <c r="F62" s="227"/>
      <c r="G62" s="277">
        <v>0.888</v>
      </c>
      <c r="H62" s="278">
        <f>G62*E62*2*2700</f>
        <v>13714.271999999999</v>
      </c>
      <c r="I62" s="493"/>
      <c r="J62" s="499"/>
      <c r="K62" s="493"/>
    </row>
    <row r="63" spans="1:11" ht="15" customHeight="1">
      <c r="A63" s="276"/>
      <c r="B63" s="507"/>
      <c r="C63" s="332" t="s">
        <v>214</v>
      </c>
      <c r="D63" s="267" t="s">
        <v>175</v>
      </c>
      <c r="E63" s="279">
        <f>E16</f>
        <v>670</v>
      </c>
      <c r="F63" s="227"/>
      <c r="G63" s="277">
        <v>0.617</v>
      </c>
      <c r="H63" s="278">
        <f>E63*G63*2*15</f>
        <v>12401.699999999999</v>
      </c>
      <c r="I63" s="493"/>
      <c r="J63" s="499"/>
      <c r="K63" s="493"/>
    </row>
    <row r="64" spans="1:11" ht="15">
      <c r="A64" s="276"/>
      <c r="B64" s="280"/>
      <c r="C64" s="334" t="s">
        <v>176</v>
      </c>
      <c r="D64" s="281"/>
      <c r="E64" s="282"/>
      <c r="F64" s="283"/>
      <c r="G64" s="284"/>
      <c r="H64" s="278"/>
      <c r="I64" s="493"/>
      <c r="J64" s="499"/>
      <c r="K64" s="493"/>
    </row>
    <row r="65" spans="1:11" ht="17.25" customHeight="1">
      <c r="A65" s="276"/>
      <c r="B65" s="280"/>
      <c r="C65" s="337" t="s">
        <v>172</v>
      </c>
      <c r="D65" s="267" t="str">
        <f>D62</f>
        <v>2x2700</v>
      </c>
      <c r="E65" s="227">
        <v>2.6</v>
      </c>
      <c r="F65" s="227"/>
      <c r="G65" s="277">
        <v>0.888</v>
      </c>
      <c r="H65" s="278">
        <f>G65*E65*2*2700</f>
        <v>12467.52</v>
      </c>
      <c r="I65" s="493"/>
      <c r="J65" s="499"/>
      <c r="K65" s="493"/>
    </row>
    <row r="66" spans="1:11" ht="15" customHeight="1">
      <c r="A66" s="276"/>
      <c r="B66" s="280"/>
      <c r="C66" s="332" t="s">
        <v>214</v>
      </c>
      <c r="D66" s="267" t="s">
        <v>175</v>
      </c>
      <c r="E66" s="279">
        <f>E63</f>
        <v>670</v>
      </c>
      <c r="F66" s="227"/>
      <c r="G66" s="277">
        <v>0.617</v>
      </c>
      <c r="H66" s="278">
        <f>E66*G66*2*15</f>
        <v>12401.699999999999</v>
      </c>
      <c r="I66" s="493"/>
      <c r="J66" s="499"/>
      <c r="K66" s="493"/>
    </row>
    <row r="67" spans="1:11" ht="12.75" customHeight="1">
      <c r="A67" s="276"/>
      <c r="B67" s="280"/>
      <c r="C67" s="333" t="str">
        <f>C17</f>
        <v>Service Duct CH. 0 to 670m</v>
      </c>
      <c r="D67" s="281"/>
      <c r="E67" s="282"/>
      <c r="F67" s="283"/>
      <c r="G67" s="284"/>
      <c r="H67" s="278"/>
      <c r="I67" s="493"/>
      <c r="J67" s="499"/>
      <c r="K67" s="493"/>
    </row>
    <row r="68" spans="1:11" ht="15" customHeight="1">
      <c r="A68" s="276"/>
      <c r="B68" s="280"/>
      <c r="C68" s="334" t="s">
        <v>171</v>
      </c>
      <c r="D68" s="268"/>
      <c r="E68" s="269"/>
      <c r="F68" s="221"/>
      <c r="G68" s="220"/>
      <c r="H68" s="221"/>
      <c r="I68" s="493"/>
      <c r="J68" s="499"/>
      <c r="K68" s="493"/>
    </row>
    <row r="69" spans="1:11" ht="15">
      <c r="A69" s="276"/>
      <c r="B69" s="280"/>
      <c r="C69" s="337" t="s">
        <v>177</v>
      </c>
      <c r="D69" s="267" t="s">
        <v>173</v>
      </c>
      <c r="E69" s="227">
        <v>5.6</v>
      </c>
      <c r="F69" s="227"/>
      <c r="G69" s="277">
        <v>0.617</v>
      </c>
      <c r="H69" s="278">
        <f>G69*E69*2*2700</f>
        <v>18658.079999999998</v>
      </c>
      <c r="I69" s="493"/>
      <c r="J69" s="499"/>
      <c r="K69" s="493"/>
    </row>
    <row r="70" spans="1:11" ht="15" customHeight="1">
      <c r="A70" s="276"/>
      <c r="B70" s="280"/>
      <c r="C70" s="332" t="s">
        <v>174</v>
      </c>
      <c r="D70" s="267" t="s">
        <v>209</v>
      </c>
      <c r="E70" s="279">
        <f>E66</f>
        <v>670</v>
      </c>
      <c r="F70" s="227"/>
      <c r="G70" s="277">
        <v>0.395</v>
      </c>
      <c r="H70" s="278">
        <f>E70*G70*2*22</f>
        <v>11644.600000000002</v>
      </c>
      <c r="I70" s="493"/>
      <c r="J70" s="499"/>
      <c r="K70" s="493"/>
    </row>
    <row r="71" spans="1:11" ht="15">
      <c r="A71" s="276"/>
      <c r="B71" s="280"/>
      <c r="C71" s="334" t="s">
        <v>176</v>
      </c>
      <c r="D71" s="281"/>
      <c r="E71" s="282"/>
      <c r="F71" s="283"/>
      <c r="G71" s="284"/>
      <c r="H71" s="278"/>
      <c r="I71" s="493"/>
      <c r="J71" s="499"/>
      <c r="K71" s="493"/>
    </row>
    <row r="72" spans="1:11" ht="17.25" customHeight="1">
      <c r="A72" s="276"/>
      <c r="B72" s="280"/>
      <c r="C72" s="337" t="s">
        <v>177</v>
      </c>
      <c r="D72" s="267" t="str">
        <f>D69</f>
        <v>2x2700</v>
      </c>
      <c r="E72" s="227">
        <v>5.3</v>
      </c>
      <c r="F72" s="227"/>
      <c r="G72" s="277">
        <v>0.617</v>
      </c>
      <c r="H72" s="278">
        <f>G72*E72*2*2700</f>
        <v>17658.539999999997</v>
      </c>
      <c r="I72" s="493"/>
      <c r="J72" s="499"/>
      <c r="K72" s="493"/>
    </row>
    <row r="73" spans="1:11" ht="15" customHeight="1">
      <c r="A73" s="276"/>
      <c r="B73" s="280"/>
      <c r="C73" s="332" t="s">
        <v>174</v>
      </c>
      <c r="D73" s="267" t="s">
        <v>210</v>
      </c>
      <c r="E73" s="279">
        <f>E70</f>
        <v>670</v>
      </c>
      <c r="F73" s="227"/>
      <c r="G73" s="277">
        <v>0.395</v>
      </c>
      <c r="H73" s="278">
        <f>E73*G73*2*21</f>
        <v>11115.300000000001</v>
      </c>
      <c r="I73" s="493"/>
      <c r="J73" s="499"/>
      <c r="K73" s="493"/>
    </row>
    <row r="74" spans="1:11" ht="30" customHeight="1">
      <c r="A74" s="276"/>
      <c r="B74" s="280"/>
      <c r="C74" s="334" t="s">
        <v>163</v>
      </c>
      <c r="D74" s="281"/>
      <c r="E74" s="282"/>
      <c r="F74" s="283"/>
      <c r="G74" s="284"/>
      <c r="H74" s="278"/>
      <c r="I74" s="493"/>
      <c r="J74" s="499"/>
      <c r="K74" s="493"/>
    </row>
    <row r="75" spans="1:11" ht="15" customHeight="1">
      <c r="A75" s="276"/>
      <c r="B75" s="280"/>
      <c r="C75" s="336" t="s">
        <v>172</v>
      </c>
      <c r="D75" s="267" t="s">
        <v>178</v>
      </c>
      <c r="E75" s="285">
        <v>0.92</v>
      </c>
      <c r="F75" s="227"/>
      <c r="G75" s="277">
        <v>0.888</v>
      </c>
      <c r="H75" s="278">
        <f>G75*E75*2*4465</f>
        <v>7295.4528</v>
      </c>
      <c r="I75" s="493"/>
      <c r="J75" s="499"/>
      <c r="K75" s="493"/>
    </row>
    <row r="76" spans="1:11" ht="15" customHeight="1">
      <c r="A76" s="276"/>
      <c r="B76" s="280"/>
      <c r="C76" s="332" t="s">
        <v>212</v>
      </c>
      <c r="D76" s="267" t="s">
        <v>179</v>
      </c>
      <c r="E76" s="279">
        <f>E16</f>
        <v>670</v>
      </c>
      <c r="F76" s="227"/>
      <c r="G76" s="277">
        <v>0.888</v>
      </c>
      <c r="H76" s="278">
        <f>E76*G76*2*5*2</f>
        <v>11899.2</v>
      </c>
      <c r="I76" s="493"/>
      <c r="J76" s="499"/>
      <c r="K76" s="493"/>
    </row>
    <row r="77" spans="1:11" ht="15" customHeight="1">
      <c r="A77" s="276"/>
      <c r="B77" s="280"/>
      <c r="C77" s="334" t="s">
        <v>180</v>
      </c>
      <c r="D77" s="281"/>
      <c r="E77" s="282"/>
      <c r="F77" s="283"/>
      <c r="G77" s="284"/>
      <c r="H77" s="278"/>
      <c r="I77" s="493"/>
      <c r="J77" s="499"/>
      <c r="K77" s="493"/>
    </row>
    <row r="78" spans="1:11" ht="14.25" customHeight="1">
      <c r="A78" s="276"/>
      <c r="B78" s="280"/>
      <c r="C78" s="336" t="s">
        <v>177</v>
      </c>
      <c r="D78" s="267" t="s">
        <v>178</v>
      </c>
      <c r="E78" s="285">
        <v>1.9</v>
      </c>
      <c r="F78" s="227"/>
      <c r="G78" s="277">
        <v>0.617</v>
      </c>
      <c r="H78" s="278">
        <f>G78*E78*2*4467</f>
        <v>10473.3282</v>
      </c>
      <c r="I78" s="493"/>
      <c r="J78" s="499"/>
      <c r="K78" s="493"/>
    </row>
    <row r="79" spans="1:11" ht="15" customHeight="1">
      <c r="A79" s="276"/>
      <c r="B79" s="280"/>
      <c r="C79" s="332" t="s">
        <v>213</v>
      </c>
      <c r="D79" s="267" t="s">
        <v>211</v>
      </c>
      <c r="E79" s="279">
        <f>E16</f>
        <v>670</v>
      </c>
      <c r="F79" s="227"/>
      <c r="G79" s="277">
        <v>0.617</v>
      </c>
      <c r="H79" s="278">
        <f>E79*G79*2*9</f>
        <v>7441.0199999999995</v>
      </c>
      <c r="I79" s="493"/>
      <c r="J79" s="499"/>
      <c r="K79" s="493"/>
    </row>
    <row r="80" spans="1:11" s="17" customFormat="1" ht="15">
      <c r="A80" s="263"/>
      <c r="B80" s="286"/>
      <c r="C80" s="495" t="s">
        <v>57</v>
      </c>
      <c r="D80" s="496"/>
      <c r="E80" s="496"/>
      <c r="F80" s="496"/>
      <c r="G80" s="497"/>
      <c r="H80" s="287">
        <f>SUM(H62:H79)</f>
        <v>147170.713</v>
      </c>
      <c r="I80" s="494"/>
      <c r="J80" s="500"/>
      <c r="K80" s="494"/>
    </row>
    <row r="81" spans="1:17" s="17" customFormat="1" ht="15">
      <c r="A81" s="263"/>
      <c r="B81" s="508"/>
      <c r="C81" s="509"/>
      <c r="D81" s="509"/>
      <c r="E81" s="509"/>
      <c r="F81" s="509"/>
      <c r="G81" s="509"/>
      <c r="H81" s="509"/>
      <c r="I81" s="509"/>
      <c r="J81" s="510"/>
      <c r="K81" s="256"/>
      <c r="M81" s="288"/>
      <c r="N81" s="289"/>
      <c r="O81" s="289"/>
      <c r="P81" s="290"/>
      <c r="Q81" s="291"/>
    </row>
    <row r="82" spans="1:11" ht="24.75" customHeight="1">
      <c r="A82" s="504" t="s">
        <v>20</v>
      </c>
      <c r="B82" s="506" t="s">
        <v>181</v>
      </c>
      <c r="C82" s="334" t="s">
        <v>208</v>
      </c>
      <c r="D82" s="267"/>
      <c r="E82" s="227"/>
      <c r="F82" s="227"/>
      <c r="G82" s="227"/>
      <c r="H82" s="260"/>
      <c r="I82" s="265"/>
      <c r="J82" s="139"/>
      <c r="K82" s="266"/>
    </row>
    <row r="83" spans="1:11" ht="75" customHeight="1">
      <c r="A83" s="505"/>
      <c r="B83" s="507"/>
      <c r="C83" s="335" t="s">
        <v>182</v>
      </c>
      <c r="D83" s="267"/>
      <c r="E83" s="227"/>
      <c r="F83" s="227"/>
      <c r="G83" s="227"/>
      <c r="H83" s="138"/>
      <c r="I83" s="486"/>
      <c r="J83" s="498"/>
      <c r="K83" s="492"/>
    </row>
    <row r="84" spans="1:11" ht="15" customHeight="1">
      <c r="A84" s="505"/>
      <c r="B84" s="507"/>
      <c r="C84" s="333" t="str">
        <f>C16</f>
        <v>Drain CH. 0 to 670m</v>
      </c>
      <c r="D84" s="268"/>
      <c r="E84" s="269"/>
      <c r="F84" s="221"/>
      <c r="G84" s="221"/>
      <c r="H84" s="260"/>
      <c r="I84" s="487"/>
      <c r="J84" s="499"/>
      <c r="K84" s="493"/>
    </row>
    <row r="85" spans="1:11" ht="15" customHeight="1">
      <c r="A85" s="505"/>
      <c r="B85" s="507"/>
      <c r="C85" s="325" t="s">
        <v>183</v>
      </c>
      <c r="D85" s="267" t="s">
        <v>161</v>
      </c>
      <c r="E85" s="267">
        <f>E16</f>
        <v>670</v>
      </c>
      <c r="F85" s="227"/>
      <c r="G85" s="285">
        <v>0.8</v>
      </c>
      <c r="H85" s="260">
        <f>E85*4*G85</f>
        <v>2144</v>
      </c>
      <c r="I85" s="487"/>
      <c r="J85" s="499"/>
      <c r="K85" s="493"/>
    </row>
    <row r="86" spans="1:11" ht="15" customHeight="1">
      <c r="A86" s="505"/>
      <c r="B86" s="507"/>
      <c r="C86" s="325" t="s">
        <v>184</v>
      </c>
      <c r="D86" s="267" t="s">
        <v>161</v>
      </c>
      <c r="E86" s="267">
        <f>E16</f>
        <v>670</v>
      </c>
      <c r="F86" s="227"/>
      <c r="G86" s="285">
        <v>0.8</v>
      </c>
      <c r="H86" s="260">
        <f>E86*4*G86</f>
        <v>2144</v>
      </c>
      <c r="I86" s="487"/>
      <c r="J86" s="499"/>
      <c r="K86" s="493"/>
    </row>
    <row r="87" spans="1:11" ht="15" customHeight="1">
      <c r="A87" s="505"/>
      <c r="B87" s="507"/>
      <c r="C87" s="332" t="s">
        <v>185</v>
      </c>
      <c r="D87" s="267" t="s">
        <v>161</v>
      </c>
      <c r="E87" s="267">
        <f>E16</f>
        <v>670</v>
      </c>
      <c r="F87" s="227"/>
      <c r="G87" s="285">
        <v>0.2</v>
      </c>
      <c r="H87" s="260">
        <f>E87*G87*4</f>
        <v>536</v>
      </c>
      <c r="I87" s="487"/>
      <c r="J87" s="499"/>
      <c r="K87" s="493"/>
    </row>
    <row r="88" spans="1:11" ht="15" customHeight="1">
      <c r="A88" s="292"/>
      <c r="B88" s="280"/>
      <c r="C88" s="333" t="str">
        <f>C45</f>
        <v>Service Duct No. 1 CH. 0 to 670m</v>
      </c>
      <c r="D88" s="281"/>
      <c r="E88" s="281"/>
      <c r="F88" s="283"/>
      <c r="G88" s="293"/>
      <c r="H88" s="260"/>
      <c r="I88" s="294"/>
      <c r="J88" s="230"/>
      <c r="K88" s="224"/>
    </row>
    <row r="89" spans="1:11" ht="15" customHeight="1">
      <c r="A89" s="292"/>
      <c r="B89" s="280"/>
      <c r="C89" s="325" t="s">
        <v>183</v>
      </c>
      <c r="D89" s="267" t="s">
        <v>161</v>
      </c>
      <c r="E89" s="267">
        <f>E16</f>
        <v>670</v>
      </c>
      <c r="F89" s="227"/>
      <c r="G89" s="285">
        <v>1.4</v>
      </c>
      <c r="H89" s="260">
        <f>E89*4*G89</f>
        <v>3751.9999999999995</v>
      </c>
      <c r="I89" s="294"/>
      <c r="J89" s="230"/>
      <c r="K89" s="224"/>
    </row>
    <row r="90" spans="1:11" ht="15" customHeight="1">
      <c r="A90" s="292"/>
      <c r="B90" s="280"/>
      <c r="C90" s="325" t="s">
        <v>184</v>
      </c>
      <c r="D90" s="267" t="s">
        <v>161</v>
      </c>
      <c r="E90" s="267">
        <f>E16</f>
        <v>670</v>
      </c>
      <c r="F90" s="227"/>
      <c r="G90" s="285">
        <v>1.4</v>
      </c>
      <c r="H90" s="260">
        <f>E90*4*G90</f>
        <v>3751.9999999999995</v>
      </c>
      <c r="I90" s="294"/>
      <c r="J90" s="230"/>
      <c r="K90" s="224"/>
    </row>
    <row r="91" spans="1:11" ht="15" customHeight="1">
      <c r="A91" s="292"/>
      <c r="B91" s="280"/>
      <c r="C91" s="332" t="s">
        <v>185</v>
      </c>
      <c r="D91" s="267" t="s">
        <v>161</v>
      </c>
      <c r="E91" s="267">
        <f>E16</f>
        <v>670</v>
      </c>
      <c r="F91" s="227"/>
      <c r="G91" s="285">
        <v>0.2</v>
      </c>
      <c r="H91" s="260">
        <f>E91*G91*4</f>
        <v>536</v>
      </c>
      <c r="I91" s="294"/>
      <c r="J91" s="230"/>
      <c r="K91" s="224"/>
    </row>
    <row r="92" spans="1:11" ht="15" customHeight="1">
      <c r="A92" s="310"/>
      <c r="B92" s="311"/>
      <c r="C92" s="333" t="str">
        <f>C48</f>
        <v>Service Duct No. 2 CH. 0 to 670m</v>
      </c>
      <c r="D92" s="281"/>
      <c r="E92" s="281"/>
      <c r="F92" s="283"/>
      <c r="G92" s="293"/>
      <c r="H92" s="260"/>
      <c r="I92" s="307"/>
      <c r="J92" s="309"/>
      <c r="K92" s="308"/>
    </row>
    <row r="93" spans="1:11" ht="15" customHeight="1">
      <c r="A93" s="310"/>
      <c r="B93" s="311"/>
      <c r="C93" s="325" t="s">
        <v>183</v>
      </c>
      <c r="D93" s="267" t="s">
        <v>161</v>
      </c>
      <c r="E93" s="267">
        <f>E89</f>
        <v>670</v>
      </c>
      <c r="F93" s="227"/>
      <c r="G93" s="285">
        <v>0.7</v>
      </c>
      <c r="H93" s="260">
        <f>E93*4*G93</f>
        <v>1875.9999999999998</v>
      </c>
      <c r="I93" s="307"/>
      <c r="J93" s="309"/>
      <c r="K93" s="308"/>
    </row>
    <row r="94" spans="1:11" ht="15" customHeight="1">
      <c r="A94" s="310"/>
      <c r="B94" s="311"/>
      <c r="C94" s="325" t="s">
        <v>184</v>
      </c>
      <c r="D94" s="267" t="s">
        <v>161</v>
      </c>
      <c r="E94" s="267">
        <f>E89</f>
        <v>670</v>
      </c>
      <c r="F94" s="227"/>
      <c r="G94" s="285">
        <v>0.7</v>
      </c>
      <c r="H94" s="260">
        <f>E94*4*G94</f>
        <v>1875.9999999999998</v>
      </c>
      <c r="I94" s="307"/>
      <c r="J94" s="309"/>
      <c r="K94" s="308"/>
    </row>
    <row r="95" spans="1:11" ht="15" customHeight="1">
      <c r="A95" s="310"/>
      <c r="B95" s="311"/>
      <c r="C95" s="332" t="s">
        <v>185</v>
      </c>
      <c r="D95" s="267" t="s">
        <v>161</v>
      </c>
      <c r="E95" s="267">
        <f>E89</f>
        <v>670</v>
      </c>
      <c r="F95" s="227"/>
      <c r="G95" s="285">
        <v>0.2</v>
      </c>
      <c r="H95" s="260">
        <f>E95*G95*4</f>
        <v>536</v>
      </c>
      <c r="I95" s="307"/>
      <c r="J95" s="309"/>
      <c r="K95" s="308"/>
    </row>
    <row r="96" spans="1:11" ht="29.25" customHeight="1">
      <c r="A96" s="292"/>
      <c r="B96" s="280"/>
      <c r="C96" s="329" t="s">
        <v>163</v>
      </c>
      <c r="D96" s="267"/>
      <c r="E96" s="267"/>
      <c r="F96" s="227"/>
      <c r="G96" s="285"/>
      <c r="H96" s="260"/>
      <c r="I96" s="294"/>
      <c r="J96" s="230"/>
      <c r="K96" s="224"/>
    </row>
    <row r="97" spans="1:11" ht="15" customHeight="1">
      <c r="A97" s="292"/>
      <c r="B97" s="280"/>
      <c r="C97" s="330" t="s">
        <v>186</v>
      </c>
      <c r="D97" s="267" t="s">
        <v>161</v>
      </c>
      <c r="E97" s="267">
        <f>E16</f>
        <v>670</v>
      </c>
      <c r="F97" s="227"/>
      <c r="G97" s="285">
        <v>0.2</v>
      </c>
      <c r="H97" s="260">
        <f>E97*G97*4</f>
        <v>536</v>
      </c>
      <c r="I97" s="294"/>
      <c r="J97" s="230"/>
      <c r="K97" s="224"/>
    </row>
    <row r="98" spans="1:11" ht="15">
      <c r="A98" s="292"/>
      <c r="B98" s="280"/>
      <c r="C98" s="330" t="s">
        <v>187</v>
      </c>
      <c r="D98" s="267" t="s">
        <v>161</v>
      </c>
      <c r="E98" s="227">
        <v>1</v>
      </c>
      <c r="F98" s="227"/>
      <c r="G98" s="285">
        <v>0.2</v>
      </c>
      <c r="H98" s="139">
        <f>G98*E98*4</f>
        <v>0.8</v>
      </c>
      <c r="I98" s="294"/>
      <c r="J98" s="230"/>
      <c r="K98" s="224"/>
    </row>
    <row r="99" spans="1:11" ht="15" customHeight="1">
      <c r="A99" s="292"/>
      <c r="B99" s="280"/>
      <c r="C99" s="329" t="s">
        <v>188</v>
      </c>
      <c r="D99" s="267"/>
      <c r="E99" s="267"/>
      <c r="F99" s="227"/>
      <c r="G99" s="285"/>
      <c r="H99" s="260"/>
      <c r="I99" s="294"/>
      <c r="J99" s="230"/>
      <c r="K99" s="224"/>
    </row>
    <row r="100" spans="1:11" ht="15" customHeight="1">
      <c r="A100" s="292"/>
      <c r="B100" s="280"/>
      <c r="C100" s="330" t="s">
        <v>186</v>
      </c>
      <c r="D100" s="267" t="s">
        <v>161</v>
      </c>
      <c r="E100" s="267">
        <f>E16</f>
        <v>670</v>
      </c>
      <c r="F100" s="227"/>
      <c r="G100" s="285">
        <v>0.2</v>
      </c>
      <c r="H100" s="260">
        <f>E100*G100*4</f>
        <v>536</v>
      </c>
      <c r="I100" s="294"/>
      <c r="J100" s="230"/>
      <c r="K100" s="224"/>
    </row>
    <row r="101" spans="1:13" ht="15">
      <c r="A101" s="292"/>
      <c r="B101" s="280"/>
      <c r="C101" s="330" t="s">
        <v>187</v>
      </c>
      <c r="D101" s="267" t="s">
        <v>161</v>
      </c>
      <c r="E101" s="227">
        <v>1.3</v>
      </c>
      <c r="F101" s="227"/>
      <c r="G101" s="285">
        <v>0.2</v>
      </c>
      <c r="H101" s="139">
        <f>G101*E101*4</f>
        <v>1.04</v>
      </c>
      <c r="I101" s="294"/>
      <c r="J101" s="230"/>
      <c r="K101" s="224"/>
      <c r="M101" s="9">
        <f>(138-(138*10%))</f>
        <v>124.2</v>
      </c>
    </row>
    <row r="102" spans="1:11" ht="12.75" customHeight="1">
      <c r="A102" s="295"/>
      <c r="B102" s="296"/>
      <c r="C102" s="495" t="s">
        <v>57</v>
      </c>
      <c r="D102" s="496"/>
      <c r="E102" s="496"/>
      <c r="F102" s="496"/>
      <c r="G102" s="497"/>
      <c r="H102" s="222">
        <f>SUM(H85:H101)</f>
        <v>18225.84</v>
      </c>
      <c r="I102" s="368">
        <v>124.2</v>
      </c>
      <c r="J102" s="255" t="s">
        <v>47</v>
      </c>
      <c r="K102" s="256">
        <f>I102*H102</f>
        <v>2263649.328</v>
      </c>
    </row>
    <row r="103" spans="1:11" ht="12.75" customHeight="1">
      <c r="A103" s="297"/>
      <c r="B103" s="298"/>
      <c r="C103" s="257"/>
      <c r="D103" s="258"/>
      <c r="E103" s="258"/>
      <c r="F103" s="258"/>
      <c r="G103" s="259"/>
      <c r="H103" s="222"/>
      <c r="I103" s="294"/>
      <c r="J103" s="230"/>
      <c r="K103" s="224"/>
    </row>
    <row r="104" spans="1:11" ht="12.75" customHeight="1">
      <c r="A104" s="299">
        <v>7</v>
      </c>
      <c r="B104" s="300" t="s">
        <v>189</v>
      </c>
      <c r="C104" s="301" t="s">
        <v>190</v>
      </c>
      <c r="D104" s="139"/>
      <c r="E104" s="139"/>
      <c r="F104" s="220"/>
      <c r="G104" s="220"/>
      <c r="H104" s="138"/>
      <c r="I104" s="143"/>
      <c r="J104" s="210"/>
      <c r="K104" s="145"/>
    </row>
    <row r="105" spans="1:11" ht="51.75" customHeight="1">
      <c r="A105" s="299"/>
      <c r="B105" s="302"/>
      <c r="C105" s="331" t="s">
        <v>191</v>
      </c>
      <c r="D105" s="139"/>
      <c r="E105" s="139"/>
      <c r="F105" s="220"/>
      <c r="G105" s="220"/>
      <c r="H105" s="138"/>
      <c r="I105" s="498">
        <v>117.9</v>
      </c>
      <c r="J105" s="498" t="s">
        <v>192</v>
      </c>
      <c r="K105" s="492">
        <f>I105*H108</f>
        <v>39496.5</v>
      </c>
    </row>
    <row r="106" spans="1:11" ht="15">
      <c r="A106" s="299"/>
      <c r="B106" s="302"/>
      <c r="C106" s="328" t="s">
        <v>193</v>
      </c>
      <c r="D106" s="267">
        <v>2</v>
      </c>
      <c r="E106" s="260">
        <f>E16</f>
        <v>670</v>
      </c>
      <c r="F106" s="220">
        <v>0.15</v>
      </c>
      <c r="G106" s="220"/>
      <c r="H106" s="138">
        <f>F106*E106*D106</f>
        <v>201</v>
      </c>
      <c r="I106" s="499"/>
      <c r="J106" s="499"/>
      <c r="K106" s="493"/>
    </row>
    <row r="107" spans="1:11" ht="15" customHeight="1">
      <c r="A107" s="299"/>
      <c r="B107" s="302"/>
      <c r="C107" s="328" t="s">
        <v>194</v>
      </c>
      <c r="D107" s="267">
        <v>2</v>
      </c>
      <c r="E107" s="260">
        <f>E17</f>
        <v>670</v>
      </c>
      <c r="F107" s="220">
        <v>0.1</v>
      </c>
      <c r="G107" s="220"/>
      <c r="H107" s="138">
        <f>F107*E107*D107</f>
        <v>134</v>
      </c>
      <c r="I107" s="499"/>
      <c r="J107" s="499"/>
      <c r="K107" s="493"/>
    </row>
    <row r="108" spans="1:13" ht="12.75" customHeight="1">
      <c r="A108" s="303"/>
      <c r="B108" s="304"/>
      <c r="C108" s="495" t="s">
        <v>57</v>
      </c>
      <c r="D108" s="496"/>
      <c r="E108" s="496"/>
      <c r="F108" s="496"/>
      <c r="G108" s="497"/>
      <c r="H108" s="138">
        <f>SUM(H106:H107)</f>
        <v>335</v>
      </c>
      <c r="I108" s="500"/>
      <c r="J108" s="500"/>
      <c r="K108" s="494"/>
      <c r="M108" s="9">
        <f>(131-(131*10%))</f>
        <v>117.9</v>
      </c>
    </row>
    <row r="109" spans="1:11" ht="15">
      <c r="A109" s="299"/>
      <c r="B109" s="501"/>
      <c r="C109" s="502"/>
      <c r="D109" s="502"/>
      <c r="E109" s="502"/>
      <c r="F109" s="502"/>
      <c r="G109" s="502"/>
      <c r="H109" s="502"/>
      <c r="I109" s="502"/>
      <c r="J109" s="503"/>
      <c r="K109" s="305"/>
    </row>
    <row r="110" spans="1:11" ht="15" customHeight="1">
      <c r="A110" s="299">
        <v>8</v>
      </c>
      <c r="B110" s="443" t="s">
        <v>195</v>
      </c>
      <c r="C110" s="322" t="s">
        <v>196</v>
      </c>
      <c r="D110" s="139"/>
      <c r="E110" s="139"/>
      <c r="F110" s="220"/>
      <c r="G110" s="220"/>
      <c r="H110" s="138"/>
      <c r="I110" s="143"/>
      <c r="J110" s="210"/>
      <c r="K110" s="145"/>
    </row>
    <row r="111" spans="1:11" ht="87" customHeight="1">
      <c r="A111" s="299"/>
      <c r="B111" s="444"/>
      <c r="C111" s="323" t="s">
        <v>197</v>
      </c>
      <c r="D111" s="139"/>
      <c r="E111" s="139"/>
      <c r="F111" s="220"/>
      <c r="G111" s="220"/>
      <c r="H111" s="138"/>
      <c r="I111" s="498">
        <f>59-5.9</f>
        <v>53.1</v>
      </c>
      <c r="J111" s="489"/>
      <c r="K111" s="492">
        <f>I111*H116</f>
        <v>9072.135</v>
      </c>
    </row>
    <row r="112" spans="1:11" ht="15" customHeight="1">
      <c r="A112" s="299"/>
      <c r="B112" s="444"/>
      <c r="C112" s="324" t="str">
        <f>C16</f>
        <v>Drain CH. 0 to 670m</v>
      </c>
      <c r="D112" s="268"/>
      <c r="E112" s="268"/>
      <c r="F112" s="228"/>
      <c r="G112" s="228"/>
      <c r="H112" s="228"/>
      <c r="I112" s="499"/>
      <c r="J112" s="490"/>
      <c r="K112" s="493"/>
    </row>
    <row r="113" spans="1:11" ht="12.75" customHeight="1">
      <c r="A113" s="299"/>
      <c r="B113" s="444"/>
      <c r="C113" s="325" t="s">
        <v>183</v>
      </c>
      <c r="D113" s="267" t="s">
        <v>198</v>
      </c>
      <c r="E113" s="279">
        <f>E16</f>
        <v>670</v>
      </c>
      <c r="F113" s="227">
        <v>0.05</v>
      </c>
      <c r="G113" s="285">
        <v>0.95</v>
      </c>
      <c r="H113" s="139">
        <f>G113*F113*E113*4</f>
        <v>127.3</v>
      </c>
      <c r="I113" s="499"/>
      <c r="J113" s="490"/>
      <c r="K113" s="493"/>
    </row>
    <row r="114" spans="1:11" ht="12.75" customHeight="1">
      <c r="A114" s="299"/>
      <c r="B114" s="444"/>
      <c r="C114" s="326" t="str">
        <f>C17</f>
        <v>Service Duct CH. 0 to 670m</v>
      </c>
      <c r="D114" s="281"/>
      <c r="E114" s="282"/>
      <c r="F114" s="283"/>
      <c r="G114" s="293"/>
      <c r="H114" s="139"/>
      <c r="I114" s="499"/>
      <c r="J114" s="490"/>
      <c r="K114" s="493"/>
    </row>
    <row r="115" spans="1:11" ht="12.75" customHeight="1">
      <c r="A115" s="299"/>
      <c r="B115" s="444"/>
      <c r="C115" s="325" t="s">
        <v>183</v>
      </c>
      <c r="D115" s="267" t="s">
        <v>198</v>
      </c>
      <c r="E115" s="279">
        <f>E16</f>
        <v>670</v>
      </c>
      <c r="F115" s="227">
        <v>0.05</v>
      </c>
      <c r="G115" s="285">
        <v>0.65</v>
      </c>
      <c r="H115" s="139">
        <f>G115*F115*E115*2</f>
        <v>43.550000000000004</v>
      </c>
      <c r="I115" s="499"/>
      <c r="J115" s="490"/>
      <c r="K115" s="493"/>
    </row>
    <row r="116" spans="1:11" ht="15">
      <c r="A116" s="303"/>
      <c r="B116" s="445"/>
      <c r="C116" s="495" t="s">
        <v>57</v>
      </c>
      <c r="D116" s="496"/>
      <c r="E116" s="496"/>
      <c r="F116" s="496"/>
      <c r="G116" s="497"/>
      <c r="H116" s="138">
        <f>SUM(H113:H115)</f>
        <v>170.85</v>
      </c>
      <c r="I116" s="500"/>
      <c r="J116" s="491"/>
      <c r="K116" s="494"/>
    </row>
    <row r="117" spans="1:11" ht="15">
      <c r="A117" s="306"/>
      <c r="B117" s="306"/>
      <c r="C117" s="606" t="s">
        <v>199</v>
      </c>
      <c r="D117" s="607"/>
      <c r="E117" s="607"/>
      <c r="F117" s="607"/>
      <c r="G117" s="607"/>
      <c r="H117" s="607"/>
      <c r="I117" s="607"/>
      <c r="J117" s="608"/>
      <c r="K117" s="609">
        <v>26864386</v>
      </c>
    </row>
    <row r="119" spans="1:11" ht="15">
      <c r="A119" s="484"/>
      <c r="B119" s="484"/>
      <c r="C119" s="484"/>
      <c r="H119" s="485"/>
      <c r="I119" s="485"/>
      <c r="J119" s="485"/>
      <c r="K119" s="485"/>
    </row>
    <row r="120" spans="1:11" ht="15">
      <c r="A120" s="484"/>
      <c r="B120" s="484"/>
      <c r="C120" s="484"/>
      <c r="H120" s="484"/>
      <c r="I120" s="484"/>
      <c r="J120" s="484"/>
      <c r="K120" s="484"/>
    </row>
  </sheetData>
  <sheetProtection/>
  <mergeCells count="72">
    <mergeCell ref="A1:K1"/>
    <mergeCell ref="A2:K2"/>
    <mergeCell ref="A3:K3"/>
    <mergeCell ref="A4:K4"/>
    <mergeCell ref="A10:K10"/>
    <mergeCell ref="A11:A12"/>
    <mergeCell ref="B11:B12"/>
    <mergeCell ref="C11:C12"/>
    <mergeCell ref="D11:H11"/>
    <mergeCell ref="I11:I12"/>
    <mergeCell ref="J11:J12"/>
    <mergeCell ref="K11:K12"/>
    <mergeCell ref="B13:B18"/>
    <mergeCell ref="D13:D15"/>
    <mergeCell ref="E13:E15"/>
    <mergeCell ref="F13:F15"/>
    <mergeCell ref="G13:G15"/>
    <mergeCell ref="H13:H15"/>
    <mergeCell ref="I13:I15"/>
    <mergeCell ref="J13:J15"/>
    <mergeCell ref="K13:K15"/>
    <mergeCell ref="A14:A18"/>
    <mergeCell ref="C14:C15"/>
    <mergeCell ref="I16:I18"/>
    <mergeCell ref="J16:J18"/>
    <mergeCell ref="K16:K18"/>
    <mergeCell ref="K25:K26"/>
    <mergeCell ref="B19:J19"/>
    <mergeCell ref="B20:B26"/>
    <mergeCell ref="D20:D22"/>
    <mergeCell ref="E20:E22"/>
    <mergeCell ref="F20:F22"/>
    <mergeCell ref="G20:G22"/>
    <mergeCell ref="H20:H22"/>
    <mergeCell ref="I20:I22"/>
    <mergeCell ref="J20:J22"/>
    <mergeCell ref="B56:B63"/>
    <mergeCell ref="C54:G54"/>
    <mergeCell ref="B34:B38"/>
    <mergeCell ref="A35:A38"/>
    <mergeCell ref="B28:B29"/>
    <mergeCell ref="K20:K22"/>
    <mergeCell ref="A21:A26"/>
    <mergeCell ref="C21:C22"/>
    <mergeCell ref="I25:I26"/>
    <mergeCell ref="J25:J26"/>
    <mergeCell ref="K83:K87"/>
    <mergeCell ref="A82:A87"/>
    <mergeCell ref="B82:B87"/>
    <mergeCell ref="I83:I87"/>
    <mergeCell ref="J83:J87"/>
    <mergeCell ref="C80:G80"/>
    <mergeCell ref="B81:J81"/>
    <mergeCell ref="I56:I80"/>
    <mergeCell ref="J56:J80"/>
    <mergeCell ref="K56:K80"/>
    <mergeCell ref="J105:J108"/>
    <mergeCell ref="K105:K108"/>
    <mergeCell ref="C108:G108"/>
    <mergeCell ref="B109:J109"/>
    <mergeCell ref="C102:G102"/>
    <mergeCell ref="I105:I108"/>
    <mergeCell ref="C117:J117"/>
    <mergeCell ref="A119:C119"/>
    <mergeCell ref="H119:K119"/>
    <mergeCell ref="A120:C120"/>
    <mergeCell ref="H120:K120"/>
    <mergeCell ref="B110:B116"/>
    <mergeCell ref="I111:I116"/>
    <mergeCell ref="J111:J116"/>
    <mergeCell ref="K111:K116"/>
    <mergeCell ref="C116:G116"/>
  </mergeCells>
  <printOptions horizontalCentered="1"/>
  <pageMargins left="0.3937007874015748" right="0.3937007874015748"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O37"/>
  <sheetViews>
    <sheetView view="pageBreakPreview" zoomScaleSheetLayoutView="100" zoomScalePageLayoutView="0" workbookViewId="0" topLeftCell="A34">
      <selection activeCell="K37" sqref="K37"/>
    </sheetView>
  </sheetViews>
  <sheetFormatPr defaultColWidth="9.140625" defaultRowHeight="15"/>
  <cols>
    <col min="1" max="1" width="4.00390625" style="0" customWidth="1"/>
    <col min="2" max="2" width="6.57421875" style="0" customWidth="1"/>
    <col min="3" max="3" width="42.8515625" style="0" customWidth="1"/>
    <col min="4" max="4" width="5.140625" style="0" hidden="1" customWidth="1"/>
    <col min="5" max="5" width="7.00390625" style="0" hidden="1" customWidth="1"/>
    <col min="6" max="6" width="5.57421875" style="0" hidden="1" customWidth="1"/>
    <col min="7" max="7" width="4.7109375" style="0" hidden="1" customWidth="1"/>
    <col min="8" max="8" width="10.00390625" style="0" customWidth="1"/>
    <col min="9" max="9" width="8.140625" style="0" bestFit="1" customWidth="1"/>
    <col min="10" max="10" width="4.57421875" style="0" bestFit="1" customWidth="1"/>
    <col min="11" max="11" width="12.8515625" style="0" customWidth="1"/>
    <col min="15" max="15" width="12.00390625" style="0" bestFit="1" customWidth="1"/>
    <col min="16" max="16" width="9.57421875" style="0" bestFit="1" customWidth="1"/>
    <col min="17" max="19" width="12.00390625" style="0" bestFit="1" customWidth="1"/>
  </cols>
  <sheetData>
    <row r="1" spans="1:11" ht="15">
      <c r="A1" s="555" t="str">
        <f>'Road 1'!A1:K1</f>
        <v>PROPOSED ROAD No. 5 (B) FROM BADI OMTI TO MALVIYA CHOWK JABALPUR (M.P.)</v>
      </c>
      <c r="B1" s="556"/>
      <c r="C1" s="556"/>
      <c r="D1" s="556"/>
      <c r="E1" s="556"/>
      <c r="F1" s="556"/>
      <c r="G1" s="556"/>
      <c r="H1" s="556"/>
      <c r="I1" s="556"/>
      <c r="J1" s="556"/>
      <c r="K1" s="557"/>
    </row>
    <row r="2" spans="1:11" ht="15">
      <c r="A2" s="558" t="str">
        <f>'Road 1'!A2:K2</f>
        <v>Length of the Road =670 m, ROW 18m</v>
      </c>
      <c r="B2" s="559"/>
      <c r="C2" s="559"/>
      <c r="D2" s="559"/>
      <c r="E2" s="559"/>
      <c r="F2" s="559"/>
      <c r="G2" s="559"/>
      <c r="H2" s="559"/>
      <c r="I2" s="559"/>
      <c r="J2" s="559"/>
      <c r="K2" s="560"/>
    </row>
    <row r="3" spans="1:11" ht="15.75">
      <c r="A3" s="185"/>
      <c r="B3" s="163"/>
      <c r="C3" s="163"/>
      <c r="D3" s="163"/>
      <c r="E3" s="163"/>
      <c r="F3" s="163"/>
      <c r="G3" s="163"/>
      <c r="H3" s="163"/>
      <c r="I3" s="163"/>
      <c r="J3" s="163"/>
      <c r="K3" s="186"/>
    </row>
    <row r="4" spans="1:11" s="16" customFormat="1" ht="15">
      <c r="A4" s="561" t="s">
        <v>107</v>
      </c>
      <c r="B4" s="562"/>
      <c r="C4" s="562"/>
      <c r="D4" s="562"/>
      <c r="E4" s="562"/>
      <c r="F4" s="562"/>
      <c r="G4" s="562"/>
      <c r="H4" s="562"/>
      <c r="I4" s="562"/>
      <c r="J4" s="562"/>
      <c r="K4" s="563"/>
    </row>
    <row r="5" spans="1:11" s="9" customFormat="1" ht="19.5" customHeight="1">
      <c r="A5" s="564" t="s">
        <v>41</v>
      </c>
      <c r="B5" s="566" t="s">
        <v>40</v>
      </c>
      <c r="C5" s="568" t="s">
        <v>9</v>
      </c>
      <c r="D5" s="569" t="s">
        <v>10</v>
      </c>
      <c r="E5" s="570"/>
      <c r="F5" s="570"/>
      <c r="G5" s="570"/>
      <c r="H5" s="571"/>
      <c r="I5" s="572" t="s">
        <v>11</v>
      </c>
      <c r="J5" s="568" t="s">
        <v>8</v>
      </c>
      <c r="K5" s="574" t="s">
        <v>3</v>
      </c>
    </row>
    <row r="6" spans="1:11" s="9" customFormat="1" ht="30.75" customHeight="1">
      <c r="A6" s="565"/>
      <c r="B6" s="567"/>
      <c r="C6" s="568"/>
      <c r="D6" s="71" t="s">
        <v>5</v>
      </c>
      <c r="E6" s="44" t="s">
        <v>12</v>
      </c>
      <c r="F6" s="49" t="s">
        <v>13</v>
      </c>
      <c r="G6" s="54" t="s">
        <v>14</v>
      </c>
      <c r="H6" s="71" t="s">
        <v>4</v>
      </c>
      <c r="I6" s="573"/>
      <c r="J6" s="568"/>
      <c r="K6" s="575"/>
    </row>
    <row r="7" spans="1:11" s="9" customFormat="1" ht="15">
      <c r="A7" s="64"/>
      <c r="B7" s="62"/>
      <c r="C7" s="365" t="s">
        <v>31</v>
      </c>
      <c r="D7" s="6"/>
      <c r="E7" s="10"/>
      <c r="F7" s="13"/>
      <c r="G7" s="22"/>
      <c r="H7" s="29"/>
      <c r="I7" s="45"/>
      <c r="J7" s="6"/>
      <c r="K7" s="11"/>
    </row>
    <row r="8" spans="1:11" s="9" customFormat="1" ht="12.75" customHeight="1">
      <c r="A8" s="585" t="s">
        <v>15</v>
      </c>
      <c r="B8" s="588" t="s">
        <v>6</v>
      </c>
      <c r="C8" s="360" t="s">
        <v>29</v>
      </c>
      <c r="D8" s="4"/>
      <c r="E8" s="46"/>
      <c r="F8" s="50"/>
      <c r="G8" s="50"/>
      <c r="H8" s="2"/>
      <c r="I8" s="55"/>
      <c r="J8" s="3"/>
      <c r="K8" s="15"/>
    </row>
    <row r="9" spans="1:11" ht="143.25" customHeight="1">
      <c r="A9" s="586"/>
      <c r="B9" s="589"/>
      <c r="C9" s="361" t="s">
        <v>38</v>
      </c>
      <c r="D9" s="4"/>
      <c r="E9" s="47"/>
      <c r="F9" s="51"/>
      <c r="G9" s="51"/>
      <c r="H9" s="1"/>
      <c r="I9" s="549">
        <v>114.3</v>
      </c>
      <c r="J9" s="549" t="s">
        <v>0</v>
      </c>
      <c r="K9" s="552">
        <f>I9*H11</f>
        <v>20676.87</v>
      </c>
    </row>
    <row r="10" spans="1:15" ht="15" customHeight="1">
      <c r="A10" s="586"/>
      <c r="B10" s="589"/>
      <c r="C10" s="348" t="s">
        <v>129</v>
      </c>
      <c r="D10" s="75">
        <v>2</v>
      </c>
      <c r="E10" s="42">
        <v>670</v>
      </c>
      <c r="F10" s="13">
        <v>0.45</v>
      </c>
      <c r="G10" s="13">
        <v>0.3</v>
      </c>
      <c r="H10" s="21">
        <f>G10*F10*E10*D10</f>
        <v>180.9</v>
      </c>
      <c r="I10" s="550"/>
      <c r="J10" s="550"/>
      <c r="K10" s="553"/>
      <c r="N10" s="9">
        <f>I9-O10</f>
        <v>102.87</v>
      </c>
      <c r="O10">
        <f>I9*10%</f>
        <v>11.43</v>
      </c>
    </row>
    <row r="11" spans="1:11" ht="15">
      <c r="A11" s="587"/>
      <c r="B11" s="590"/>
      <c r="C11" s="27" t="s">
        <v>2</v>
      </c>
      <c r="D11" s="6"/>
      <c r="E11" s="10"/>
      <c r="F11" s="13"/>
      <c r="G11" s="13"/>
      <c r="H11" s="21">
        <f>SUM(H10:H10)</f>
        <v>180.9</v>
      </c>
      <c r="I11" s="551"/>
      <c r="J11" s="551"/>
      <c r="K11" s="554"/>
    </row>
    <row r="12" spans="1:11" ht="12" customHeight="1">
      <c r="A12" s="68"/>
      <c r="B12" s="576"/>
      <c r="C12" s="577"/>
      <c r="D12" s="577"/>
      <c r="E12" s="577"/>
      <c r="F12" s="577"/>
      <c r="G12" s="577"/>
      <c r="H12" s="577"/>
      <c r="I12" s="577"/>
      <c r="J12" s="578"/>
      <c r="K12" s="18"/>
    </row>
    <row r="13" spans="1:11" ht="15" customHeight="1">
      <c r="A13" s="579" t="s">
        <v>16</v>
      </c>
      <c r="B13" s="582" t="s">
        <v>24</v>
      </c>
      <c r="C13" s="362" t="s">
        <v>25</v>
      </c>
      <c r="D13" s="34"/>
      <c r="E13" s="20"/>
      <c r="F13" s="32"/>
      <c r="G13" s="5"/>
      <c r="H13" s="35"/>
      <c r="I13" s="56"/>
      <c r="J13" s="31"/>
      <c r="K13" s="40"/>
    </row>
    <row r="14" spans="1:11" ht="51.75" customHeight="1">
      <c r="A14" s="580"/>
      <c r="B14" s="583"/>
      <c r="C14" s="361" t="s">
        <v>26</v>
      </c>
      <c r="D14" s="34"/>
      <c r="E14" s="20"/>
      <c r="F14" s="32"/>
      <c r="G14" s="5"/>
      <c r="H14" s="36"/>
      <c r="I14" s="56"/>
      <c r="J14" s="31"/>
      <c r="K14" s="37"/>
    </row>
    <row r="15" spans="1:11" s="9" customFormat="1" ht="15" customHeight="1">
      <c r="A15" s="581"/>
      <c r="B15" s="584"/>
      <c r="C15" s="348" t="str">
        <f>C10</f>
        <v>Road CH. 0 to 670m</v>
      </c>
      <c r="D15" s="75">
        <v>2</v>
      </c>
      <c r="E15" s="42">
        <f>E10</f>
        <v>670</v>
      </c>
      <c r="F15" s="13">
        <v>0.45</v>
      </c>
      <c r="G15" s="13">
        <v>0.3</v>
      </c>
      <c r="H15" s="61">
        <f>G15*F15*E15*D15</f>
        <v>180.9</v>
      </c>
      <c r="I15" s="56">
        <v>513</v>
      </c>
      <c r="J15" s="31" t="s">
        <v>0</v>
      </c>
      <c r="K15" s="37">
        <f>I15*H15</f>
        <v>92801.7</v>
      </c>
    </row>
    <row r="16" spans="1:11" s="9" customFormat="1" ht="12.75" customHeight="1">
      <c r="A16" s="64"/>
      <c r="B16" s="63"/>
      <c r="C16" s="363" t="str">
        <f>C11</f>
        <v>Total</v>
      </c>
      <c r="D16" s="34"/>
      <c r="E16" s="20"/>
      <c r="F16" s="32"/>
      <c r="G16" s="5"/>
      <c r="H16" s="36"/>
      <c r="I16" s="56"/>
      <c r="J16" s="31"/>
      <c r="K16" s="37"/>
    </row>
    <row r="17" spans="1:11" s="9" customFormat="1" ht="12" customHeight="1">
      <c r="A17" s="67"/>
      <c r="B17" s="591"/>
      <c r="C17" s="592"/>
      <c r="D17" s="592"/>
      <c r="E17" s="592"/>
      <c r="F17" s="592"/>
      <c r="G17" s="592"/>
      <c r="H17" s="592"/>
      <c r="I17" s="592"/>
      <c r="J17" s="593"/>
      <c r="K17" s="37"/>
    </row>
    <row r="18" spans="1:11" s="17" customFormat="1" ht="15" customHeight="1">
      <c r="A18" s="585" t="s">
        <v>43</v>
      </c>
      <c r="B18" s="594" t="s">
        <v>108</v>
      </c>
      <c r="C18" s="352" t="s">
        <v>109</v>
      </c>
      <c r="D18" s="20"/>
      <c r="E18" s="48"/>
      <c r="F18" s="32"/>
      <c r="G18" s="5"/>
      <c r="H18" s="8"/>
      <c r="I18" s="45"/>
      <c r="J18" s="6"/>
      <c r="K18" s="14"/>
    </row>
    <row r="19" spans="1:11" s="9" customFormat="1" ht="99.75" customHeight="1">
      <c r="A19" s="586"/>
      <c r="B19" s="595"/>
      <c r="C19" s="355" t="s">
        <v>110</v>
      </c>
      <c r="D19" s="20"/>
      <c r="E19" s="48"/>
      <c r="F19" s="32"/>
      <c r="G19" s="5"/>
      <c r="H19" s="8"/>
      <c r="I19" s="549">
        <v>3235.5</v>
      </c>
      <c r="J19" s="549" t="s">
        <v>0</v>
      </c>
      <c r="K19" s="552">
        <f>H20*I19</f>
        <v>195100.65000000002</v>
      </c>
    </row>
    <row r="20" spans="1:15" s="9" customFormat="1" ht="15" customHeight="1">
      <c r="A20" s="587"/>
      <c r="B20" s="596"/>
      <c r="C20" s="348" t="str">
        <f>C15</f>
        <v>Road CH. 0 to 670m</v>
      </c>
      <c r="D20" s="75">
        <v>2</v>
      </c>
      <c r="E20" s="42">
        <f>E10</f>
        <v>670</v>
      </c>
      <c r="F20" s="13">
        <v>0.45</v>
      </c>
      <c r="G20" s="13">
        <v>0.1</v>
      </c>
      <c r="H20" s="21">
        <f>F20*E20*D20*G20</f>
        <v>60.300000000000004</v>
      </c>
      <c r="I20" s="551"/>
      <c r="J20" s="551"/>
      <c r="K20" s="554"/>
      <c r="O20" s="9">
        <f>(3595-(3595*10%))</f>
        <v>3235.5</v>
      </c>
    </row>
    <row r="21" spans="1:11" s="9" customFormat="1" ht="15">
      <c r="A21" s="67"/>
      <c r="B21" s="576"/>
      <c r="C21" s="577"/>
      <c r="D21" s="577"/>
      <c r="E21" s="577"/>
      <c r="F21" s="577"/>
      <c r="G21" s="577"/>
      <c r="H21" s="577"/>
      <c r="I21" s="577"/>
      <c r="J21" s="578"/>
      <c r="K21" s="18"/>
    </row>
    <row r="22" spans="1:11" ht="15" customHeight="1">
      <c r="A22" s="585" t="s">
        <v>17</v>
      </c>
      <c r="B22" s="594" t="s">
        <v>27</v>
      </c>
      <c r="C22" s="359" t="s">
        <v>31</v>
      </c>
      <c r="D22" s="6"/>
      <c r="E22" s="10"/>
      <c r="F22" s="13"/>
      <c r="G22" s="22"/>
      <c r="H22" s="8"/>
      <c r="I22" s="45"/>
      <c r="J22" s="6"/>
      <c r="K22" s="14"/>
    </row>
    <row r="23" spans="1:11" ht="62.25" customHeight="1">
      <c r="A23" s="586"/>
      <c r="B23" s="595"/>
      <c r="C23" s="355" t="s">
        <v>132</v>
      </c>
      <c r="D23" s="6"/>
      <c r="E23" s="10"/>
      <c r="F23" s="13"/>
      <c r="G23" s="22"/>
      <c r="H23" s="8"/>
      <c r="I23" s="547">
        <v>513</v>
      </c>
      <c r="J23" s="549" t="s">
        <v>1</v>
      </c>
      <c r="K23" s="552">
        <f>I23*H24</f>
        <v>2062260</v>
      </c>
    </row>
    <row r="24" spans="1:11" ht="15" customHeight="1">
      <c r="A24" s="587"/>
      <c r="B24" s="596"/>
      <c r="C24" s="348" t="str">
        <f>C20</f>
        <v>Road CH. 0 to 670m</v>
      </c>
      <c r="D24" s="75">
        <v>2</v>
      </c>
      <c r="E24" s="42">
        <f>E10</f>
        <v>670</v>
      </c>
      <c r="F24" s="13">
        <v>3</v>
      </c>
      <c r="G24" s="13"/>
      <c r="H24" s="70">
        <f>F24*E24*D24</f>
        <v>4020</v>
      </c>
      <c r="I24" s="548"/>
      <c r="J24" s="551"/>
      <c r="K24" s="554"/>
    </row>
    <row r="25" spans="1:11" s="19" customFormat="1" ht="12.75">
      <c r="A25" s="187"/>
      <c r="B25" s="576"/>
      <c r="C25" s="577"/>
      <c r="D25" s="577"/>
      <c r="E25" s="577"/>
      <c r="F25" s="577"/>
      <c r="G25" s="577"/>
      <c r="H25" s="577"/>
      <c r="I25" s="577"/>
      <c r="J25" s="578"/>
      <c r="K25" s="14"/>
    </row>
    <row r="26" spans="1:11" s="19" customFormat="1" ht="12.75" customHeight="1">
      <c r="A26" s="586" t="s">
        <v>28</v>
      </c>
      <c r="B26" s="594" t="s">
        <v>39</v>
      </c>
      <c r="C26" s="359" t="s">
        <v>32</v>
      </c>
      <c r="D26" s="6"/>
      <c r="E26" s="10"/>
      <c r="F26" s="13"/>
      <c r="G26" s="22"/>
      <c r="H26" s="8"/>
      <c r="I26" s="45"/>
      <c r="J26" s="6"/>
      <c r="K26" s="14"/>
    </row>
    <row r="27" spans="1:11" s="19" customFormat="1" ht="254.25" customHeight="1">
      <c r="A27" s="586"/>
      <c r="B27" s="595"/>
      <c r="C27" s="355" t="s">
        <v>133</v>
      </c>
      <c r="D27" s="549"/>
      <c r="E27" s="549"/>
      <c r="F27" s="549"/>
      <c r="G27" s="549"/>
      <c r="H27" s="549"/>
      <c r="I27" s="549">
        <v>4588.2</v>
      </c>
      <c r="J27" s="549" t="s">
        <v>0</v>
      </c>
      <c r="K27" s="552">
        <f>I27*H32</f>
        <v>1312638.138</v>
      </c>
    </row>
    <row r="28" spans="1:11" s="19" customFormat="1" ht="15.75" customHeight="1">
      <c r="A28" s="586"/>
      <c r="B28" s="595"/>
      <c r="C28" s="348" t="str">
        <f>C24</f>
        <v>Road CH. 0 to 670m</v>
      </c>
      <c r="D28" s="550"/>
      <c r="E28" s="550"/>
      <c r="F28" s="550"/>
      <c r="G28" s="550"/>
      <c r="H28" s="550"/>
      <c r="I28" s="550"/>
      <c r="J28" s="550"/>
      <c r="K28" s="553"/>
    </row>
    <row r="29" spans="1:11" s="19" customFormat="1" ht="12" customHeight="1">
      <c r="A29" s="586"/>
      <c r="B29" s="595"/>
      <c r="C29" s="74" t="s">
        <v>36</v>
      </c>
      <c r="D29" s="551"/>
      <c r="E29" s="551"/>
      <c r="F29" s="551"/>
      <c r="G29" s="551"/>
      <c r="H29" s="551"/>
      <c r="I29" s="550"/>
      <c r="J29" s="550"/>
      <c r="K29" s="553"/>
    </row>
    <row r="30" spans="1:11" ht="15" customHeight="1">
      <c r="A30" s="586"/>
      <c r="B30" s="595"/>
      <c r="C30" s="364" t="s">
        <v>37</v>
      </c>
      <c r="D30" s="75">
        <v>4</v>
      </c>
      <c r="E30" s="42">
        <f>E10</f>
        <v>670</v>
      </c>
      <c r="F30" s="13">
        <v>0.2</v>
      </c>
      <c r="G30" s="22">
        <v>0.335</v>
      </c>
      <c r="H30" s="8">
        <f>G30*F30*E30*D30</f>
        <v>179.56</v>
      </c>
      <c r="I30" s="550"/>
      <c r="J30" s="550"/>
      <c r="K30" s="553"/>
    </row>
    <row r="31" spans="1:11" ht="15">
      <c r="A31" s="587"/>
      <c r="B31" s="595"/>
      <c r="C31" s="364" t="s">
        <v>33</v>
      </c>
      <c r="D31" s="75">
        <v>4</v>
      </c>
      <c r="E31" s="42">
        <f>E10</f>
        <v>670</v>
      </c>
      <c r="F31" s="7">
        <v>0.265</v>
      </c>
      <c r="G31" s="22">
        <v>0.15</v>
      </c>
      <c r="H31" s="8">
        <f>G31*F31*E31*D31</f>
        <v>106.53</v>
      </c>
      <c r="I31" s="550"/>
      <c r="J31" s="550"/>
      <c r="K31" s="553"/>
    </row>
    <row r="32" spans="1:15" ht="15">
      <c r="A32" s="69"/>
      <c r="B32" s="58"/>
      <c r="C32" s="74" t="s">
        <v>2</v>
      </c>
      <c r="D32" s="6"/>
      <c r="E32" s="10"/>
      <c r="F32" s="13"/>
      <c r="G32" s="22"/>
      <c r="H32" s="8">
        <f>SUM(H30:H31)</f>
        <v>286.09000000000003</v>
      </c>
      <c r="I32" s="551"/>
      <c r="J32" s="551"/>
      <c r="K32" s="554"/>
      <c r="O32">
        <f>(5098-(5098*10%))</f>
        <v>4588.2</v>
      </c>
    </row>
    <row r="33" spans="1:11" ht="15">
      <c r="A33" s="66"/>
      <c r="B33" s="600"/>
      <c r="C33" s="601"/>
      <c r="D33" s="601"/>
      <c r="E33" s="601"/>
      <c r="F33" s="601"/>
      <c r="G33" s="601"/>
      <c r="H33" s="601"/>
      <c r="I33" s="601"/>
      <c r="J33" s="602"/>
      <c r="K33" s="39"/>
    </row>
    <row r="34" spans="1:11" ht="30.75" customHeight="1">
      <c r="A34" s="603" t="s">
        <v>20</v>
      </c>
      <c r="B34" s="594" t="s">
        <v>19</v>
      </c>
      <c r="C34" s="366" t="s">
        <v>135</v>
      </c>
      <c r="D34" s="30"/>
      <c r="E34" s="48"/>
      <c r="F34" s="52"/>
      <c r="G34" s="26"/>
      <c r="H34" s="38"/>
      <c r="I34" s="45"/>
      <c r="J34" s="6"/>
      <c r="K34" s="38"/>
    </row>
    <row r="35" spans="1:11" ht="103.5" customHeight="1">
      <c r="A35" s="604"/>
      <c r="B35" s="595"/>
      <c r="C35" s="355" t="s">
        <v>7</v>
      </c>
      <c r="D35" s="33"/>
      <c r="E35" s="43"/>
      <c r="F35" s="53"/>
      <c r="G35" s="26"/>
      <c r="H35" s="57"/>
      <c r="I35" s="45"/>
      <c r="J35" s="6"/>
      <c r="K35" s="41"/>
    </row>
    <row r="36" spans="1:15" ht="15" customHeight="1">
      <c r="A36" s="188"/>
      <c r="B36" s="72"/>
      <c r="C36" s="367" t="str">
        <f>C28</f>
        <v>Road CH. 0 to 670m</v>
      </c>
      <c r="D36" s="75">
        <v>2</v>
      </c>
      <c r="E36" s="191">
        <f>E10</f>
        <v>670</v>
      </c>
      <c r="F36" s="192">
        <v>0.15</v>
      </c>
      <c r="G36" s="193">
        <v>0.06</v>
      </c>
      <c r="H36" s="194">
        <f>G36*F36*E36*D36</f>
        <v>12.059999999999999</v>
      </c>
      <c r="I36" s="100">
        <v>4135.5</v>
      </c>
      <c r="J36" s="80" t="s">
        <v>0</v>
      </c>
      <c r="K36" s="195">
        <f>H36*I36</f>
        <v>49874.13</v>
      </c>
      <c r="O36">
        <f>(4595-(4595*10%))</f>
        <v>4135.5</v>
      </c>
    </row>
    <row r="37" spans="1:11" ht="15">
      <c r="A37" s="189"/>
      <c r="B37" s="597" t="s">
        <v>2</v>
      </c>
      <c r="C37" s="598"/>
      <c r="D37" s="598"/>
      <c r="E37" s="598"/>
      <c r="F37" s="598"/>
      <c r="G37" s="598"/>
      <c r="H37" s="598"/>
      <c r="I37" s="599"/>
      <c r="J37" s="190"/>
      <c r="K37" s="610">
        <f>SUM(K9:K36)</f>
        <v>3733351.488</v>
      </c>
    </row>
  </sheetData>
  <sheetProtection/>
  <mergeCells count="45">
    <mergeCell ref="K27:K32"/>
    <mergeCell ref="B37:I37"/>
    <mergeCell ref="B33:J33"/>
    <mergeCell ref="A34:A35"/>
    <mergeCell ref="B34:B35"/>
    <mergeCell ref="H27:H29"/>
    <mergeCell ref="I27:I32"/>
    <mergeCell ref="B25:J25"/>
    <mergeCell ref="A26:A31"/>
    <mergeCell ref="B26:B31"/>
    <mergeCell ref="D27:D29"/>
    <mergeCell ref="E27:E29"/>
    <mergeCell ref="F27:F29"/>
    <mergeCell ref="G27:G29"/>
    <mergeCell ref="J27:J32"/>
    <mergeCell ref="B21:J21"/>
    <mergeCell ref="A22:A24"/>
    <mergeCell ref="B22:B24"/>
    <mergeCell ref="I23:I24"/>
    <mergeCell ref="J23:J24"/>
    <mergeCell ref="K23:K24"/>
    <mergeCell ref="B17:J17"/>
    <mergeCell ref="A18:A20"/>
    <mergeCell ref="B18:B20"/>
    <mergeCell ref="I19:I20"/>
    <mergeCell ref="J19:J20"/>
    <mergeCell ref="K19:K20"/>
    <mergeCell ref="I5:I6"/>
    <mergeCell ref="J5:J6"/>
    <mergeCell ref="K5:K6"/>
    <mergeCell ref="B12:J12"/>
    <mergeCell ref="A13:A15"/>
    <mergeCell ref="B13:B15"/>
    <mergeCell ref="A8:A11"/>
    <mergeCell ref="B8:B11"/>
    <mergeCell ref="I9:I11"/>
    <mergeCell ref="J9:J11"/>
    <mergeCell ref="K9:K11"/>
    <mergeCell ref="A1:K1"/>
    <mergeCell ref="A2:K2"/>
    <mergeCell ref="A4:K4"/>
    <mergeCell ref="A5:A6"/>
    <mergeCell ref="B5:B6"/>
    <mergeCell ref="C5:C6"/>
    <mergeCell ref="D5:H5"/>
  </mergeCells>
  <printOptions horizontalCentered="1"/>
  <pageMargins left="0.3937007874015748" right="0.3937007874015748" top="0.551181102362204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SHARMA</dc:creator>
  <cp:keywords/>
  <dc:description/>
  <cp:lastModifiedBy>pc</cp:lastModifiedBy>
  <cp:lastPrinted>2017-10-28T13:18:55Z</cp:lastPrinted>
  <dcterms:created xsi:type="dcterms:W3CDTF">2010-01-11T12:00:39Z</dcterms:created>
  <dcterms:modified xsi:type="dcterms:W3CDTF">2018-01-22T09:23:17Z</dcterms:modified>
  <cp:category/>
  <cp:version/>
  <cp:contentType/>
  <cp:contentStatus/>
</cp:coreProperties>
</file>